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Sheet1!$A$3:$J$1089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<sst xmlns="http://schemas.openxmlformats.org/spreadsheetml/2006/main" count="3837" uniqueCount="1100">
  <si>
    <t>2020年唐河县事业单位招聘工作人员原始成绩</t>
  </si>
  <si>
    <t>职位代码</t>
  </si>
  <si>
    <t>姓名</t>
  </si>
  <si>
    <t>性别</t>
  </si>
  <si>
    <t>身份证号码</t>
  </si>
  <si>
    <t>准考证号</t>
  </si>
  <si>
    <t>考场号</t>
  </si>
  <si>
    <t>座位号</t>
  </si>
  <si>
    <t>资格审核人</t>
  </si>
  <si>
    <t>总成绩</t>
  </si>
  <si>
    <t>备注</t>
  </si>
  <si>
    <t>001-金融服务中心</t>
  </si>
  <si>
    <t>张健</t>
  </si>
  <si>
    <t>现场报名</t>
  </si>
  <si>
    <t>缺考</t>
  </si>
  <si>
    <t>安冉</t>
  </si>
  <si>
    <t>韩芃</t>
  </si>
  <si>
    <t>燕飞</t>
  </si>
  <si>
    <t>李卓玥</t>
  </si>
  <si>
    <t>赵红越</t>
  </si>
  <si>
    <t>刘怡帆</t>
  </si>
  <si>
    <t>李家琛</t>
  </si>
  <si>
    <t>仝瑶</t>
  </si>
  <si>
    <t>曹值</t>
  </si>
  <si>
    <t>李怡延</t>
  </si>
  <si>
    <t>院振通</t>
  </si>
  <si>
    <t>魏洲宇</t>
  </si>
  <si>
    <t>于丹</t>
  </si>
  <si>
    <t>杨兴建</t>
  </si>
  <si>
    <t>郭晴</t>
  </si>
  <si>
    <t>杨博宇</t>
  </si>
  <si>
    <t>王震</t>
  </si>
  <si>
    <t>夏想</t>
  </si>
  <si>
    <t>胡甲崟</t>
  </si>
  <si>
    <t>段虹阳</t>
  </si>
  <si>
    <t>郭世云</t>
  </si>
  <si>
    <t>梁冠亚</t>
  </si>
  <si>
    <t>张云豪</t>
  </si>
  <si>
    <t>白帆</t>
  </si>
  <si>
    <t>徐孟丽</t>
  </si>
  <si>
    <t>韩蓓</t>
  </si>
  <si>
    <t>张诺言</t>
  </si>
  <si>
    <t>张露曦</t>
  </si>
  <si>
    <t>李晗</t>
  </si>
  <si>
    <t>刘飒</t>
  </si>
  <si>
    <t>网上报名</t>
  </si>
  <si>
    <t>王志威</t>
  </si>
  <si>
    <t>李荣峰</t>
  </si>
  <si>
    <t>孙豪</t>
  </si>
  <si>
    <t>刘迎旭</t>
  </si>
  <si>
    <t>班瑞琪</t>
  </si>
  <si>
    <t>黄冬阳</t>
  </si>
  <si>
    <t>江海洋</t>
  </si>
  <si>
    <t>魏若芙</t>
  </si>
  <si>
    <t>游爽爽</t>
  </si>
  <si>
    <t>徐少华</t>
  </si>
  <si>
    <t>吴宇欣</t>
  </si>
  <si>
    <t>党飞</t>
  </si>
  <si>
    <t>王亚凯</t>
  </si>
  <si>
    <t>002-政务和大数据服务中心</t>
  </si>
  <si>
    <t>毛晓磊</t>
  </si>
  <si>
    <t>杨智琳</t>
  </si>
  <si>
    <t>曲重</t>
  </si>
  <si>
    <t>王斌</t>
  </si>
  <si>
    <t>刘泰成</t>
  </si>
  <si>
    <t>薛柯威</t>
  </si>
  <si>
    <t>赵梦飞</t>
  </si>
  <si>
    <t>王天增</t>
  </si>
  <si>
    <t>胡飞</t>
  </si>
  <si>
    <t>杨佳明</t>
  </si>
  <si>
    <t>郭鑫</t>
  </si>
  <si>
    <t>郭英豪</t>
  </si>
  <si>
    <t>谭皓文</t>
  </si>
  <si>
    <t>朱倩倩</t>
  </si>
  <si>
    <t>王迪</t>
  </si>
  <si>
    <t>张逯滢</t>
  </si>
  <si>
    <t>张皓</t>
  </si>
  <si>
    <t>刘国建</t>
  </si>
  <si>
    <t>戴田瑞</t>
  </si>
  <si>
    <t>郑晓亮</t>
  </si>
  <si>
    <t>韩越</t>
  </si>
  <si>
    <t>郭点</t>
  </si>
  <si>
    <t>杜乐</t>
  </si>
  <si>
    <t>乔楠</t>
  </si>
  <si>
    <t>罗衡玉</t>
  </si>
  <si>
    <t>李堃</t>
  </si>
  <si>
    <t>王卓</t>
  </si>
  <si>
    <t>程展</t>
  </si>
  <si>
    <t>陈宵祎</t>
  </si>
  <si>
    <t>冯峰</t>
  </si>
  <si>
    <t>方梁</t>
  </si>
  <si>
    <t>王安琪</t>
  </si>
  <si>
    <t>韩钊</t>
  </si>
  <si>
    <t>肖智展</t>
  </si>
  <si>
    <t>张逸飞</t>
  </si>
  <si>
    <t>张鑫柳</t>
  </si>
  <si>
    <t>杨松涵</t>
  </si>
  <si>
    <t>陈星</t>
  </si>
  <si>
    <t>牛世争</t>
  </si>
  <si>
    <t>任东帅</t>
  </si>
  <si>
    <t>李孟鼎</t>
  </si>
  <si>
    <t>王峥</t>
  </si>
  <si>
    <t>赵阳</t>
  </si>
  <si>
    <t>刘江龙</t>
  </si>
  <si>
    <t>翟洪震</t>
  </si>
  <si>
    <t>焦丹娅</t>
  </si>
  <si>
    <t>刘字博</t>
  </si>
  <si>
    <t>王潞</t>
  </si>
  <si>
    <t>曲焱坤</t>
  </si>
  <si>
    <t>李招弟</t>
  </si>
  <si>
    <t>杨立新</t>
  </si>
  <si>
    <t>白鸿图</t>
  </si>
  <si>
    <t>谷硕</t>
  </si>
  <si>
    <t>樊旭阳</t>
  </si>
  <si>
    <t>葛园园</t>
  </si>
  <si>
    <t>荆垚</t>
  </si>
  <si>
    <t>张科</t>
  </si>
  <si>
    <t>王越</t>
  </si>
  <si>
    <t>马晓琳</t>
  </si>
  <si>
    <t>郭帅</t>
  </si>
  <si>
    <t>张亚利</t>
  </si>
  <si>
    <t>崔伟伟</t>
  </si>
  <si>
    <t>刘硕</t>
  </si>
  <si>
    <t>赵文琰</t>
  </si>
  <si>
    <t>张玉</t>
  </si>
  <si>
    <t>王灿</t>
  </si>
  <si>
    <t>付宇</t>
  </si>
  <si>
    <t>吴宁</t>
  </si>
  <si>
    <t>樊豫佳</t>
  </si>
  <si>
    <t>杨森</t>
  </si>
  <si>
    <t>贾向阳</t>
  </si>
  <si>
    <t>李保林</t>
  </si>
  <si>
    <t>涂源源</t>
  </si>
  <si>
    <t>王泳</t>
  </si>
  <si>
    <t>韩赢</t>
  </si>
  <si>
    <t>李良</t>
  </si>
  <si>
    <t>贾帅</t>
  </si>
  <si>
    <t>许亚楠</t>
  </si>
  <si>
    <t>王威</t>
  </si>
  <si>
    <t>李子豪</t>
  </si>
  <si>
    <t>张盟</t>
  </si>
  <si>
    <t>曹茂</t>
  </si>
  <si>
    <t>鲁洋</t>
  </si>
  <si>
    <t>李永乐</t>
  </si>
  <si>
    <t>曹芊</t>
  </si>
  <si>
    <t>李扬</t>
  </si>
  <si>
    <t>004-财政投资评审中心</t>
  </si>
  <si>
    <t>郝雨晴</t>
  </si>
  <si>
    <t>刘桂兰</t>
  </si>
  <si>
    <t>郑博元</t>
  </si>
  <si>
    <t>赵亮</t>
  </si>
  <si>
    <t>张萌萌</t>
  </si>
  <si>
    <t>李俊毅</t>
  </si>
  <si>
    <t>王璐</t>
  </si>
  <si>
    <t>戴乐</t>
  </si>
  <si>
    <t>闻婧</t>
  </si>
  <si>
    <t>贾瑶</t>
  </si>
  <si>
    <t>乔梁</t>
  </si>
  <si>
    <t>李新翼</t>
  </si>
  <si>
    <t>朱若锦</t>
  </si>
  <si>
    <t>郝林超</t>
  </si>
  <si>
    <t>周健</t>
  </si>
  <si>
    <t>刘玉翠</t>
  </si>
  <si>
    <t>白含冰</t>
  </si>
  <si>
    <t>张展硕</t>
  </si>
  <si>
    <t>江柏村</t>
  </si>
  <si>
    <t>白家婷</t>
  </si>
  <si>
    <t>宋琳琳</t>
  </si>
  <si>
    <t>姚璎倍</t>
  </si>
  <si>
    <t>李志毅</t>
  </si>
  <si>
    <t>赵赛</t>
  </si>
  <si>
    <t>牛柏钦</t>
  </si>
  <si>
    <t>刘子琪</t>
  </si>
  <si>
    <t>张珍</t>
  </si>
  <si>
    <t>刘士丽</t>
  </si>
  <si>
    <t>乔军玲</t>
  </si>
  <si>
    <t>秦妙媛</t>
  </si>
  <si>
    <t>黄荷辛</t>
  </si>
  <si>
    <t>吴豫宁</t>
  </si>
  <si>
    <t>程璐</t>
  </si>
  <si>
    <t>许晴</t>
  </si>
  <si>
    <t>刘关张</t>
  </si>
  <si>
    <t>张梦琦</t>
  </si>
  <si>
    <t>赵艺辉</t>
  </si>
  <si>
    <t>赵青玲</t>
  </si>
  <si>
    <t>王煜黙</t>
  </si>
  <si>
    <t>刘黎明</t>
  </si>
  <si>
    <t>刘智苹</t>
  </si>
  <si>
    <t>翟婷</t>
  </si>
  <si>
    <t>牛一航</t>
  </si>
  <si>
    <t>韩斐</t>
  </si>
  <si>
    <t>吕经纬</t>
  </si>
  <si>
    <t>黄英飒</t>
  </si>
  <si>
    <t>刘慧方</t>
  </si>
  <si>
    <t>王幸</t>
  </si>
  <si>
    <t>杜毅娜</t>
  </si>
  <si>
    <t>段亚萍</t>
  </si>
  <si>
    <t>郭正峰</t>
  </si>
  <si>
    <t>袁泽明</t>
  </si>
  <si>
    <t>赵琰</t>
  </si>
  <si>
    <t>牛桂杰</t>
  </si>
  <si>
    <t>武金炎</t>
  </si>
  <si>
    <t>王梁</t>
  </si>
  <si>
    <t>李雪菲</t>
  </si>
  <si>
    <t>梁鹏飞</t>
  </si>
  <si>
    <t>王宜凡</t>
  </si>
  <si>
    <t>杨倩</t>
  </si>
  <si>
    <t>刘振业</t>
  </si>
  <si>
    <t>丁玉</t>
  </si>
  <si>
    <t>海金金</t>
  </si>
  <si>
    <t>李喆</t>
  </si>
  <si>
    <t>李芳</t>
  </si>
  <si>
    <t>王玉静</t>
  </si>
  <si>
    <t>李雪晴</t>
  </si>
  <si>
    <t>白景棪</t>
  </si>
  <si>
    <t>张蕾</t>
  </si>
  <si>
    <t>王正</t>
  </si>
  <si>
    <t>陈贞</t>
  </si>
  <si>
    <t>齐梦馨</t>
  </si>
  <si>
    <t>郭春艳</t>
  </si>
  <si>
    <t>孙姸聪</t>
  </si>
  <si>
    <t>吴昊</t>
  </si>
  <si>
    <t>王田恬</t>
  </si>
  <si>
    <t>曲冬鑫</t>
  </si>
  <si>
    <t>吴琼</t>
  </si>
  <si>
    <t>曲径</t>
  </si>
  <si>
    <t>薛原</t>
  </si>
  <si>
    <t>孟准</t>
  </si>
  <si>
    <t>孙月涛</t>
  </si>
  <si>
    <t>罗瑜</t>
  </si>
  <si>
    <t>吴佳欣</t>
  </si>
  <si>
    <t>徐曼秋</t>
  </si>
  <si>
    <t>宋赛一</t>
  </si>
  <si>
    <t>王雪茜</t>
  </si>
  <si>
    <t>谢晗</t>
  </si>
  <si>
    <t>马寅博</t>
  </si>
  <si>
    <t>冯甜甜</t>
  </si>
  <si>
    <t>杜丹丹</t>
  </si>
  <si>
    <t>张钰浛</t>
  </si>
  <si>
    <t>李悦源</t>
  </si>
  <si>
    <t>李莉莉</t>
  </si>
  <si>
    <t>赵戈风</t>
  </si>
  <si>
    <t>邓柯</t>
  </si>
  <si>
    <t>石展</t>
  </si>
  <si>
    <t>靖君</t>
  </si>
  <si>
    <t>常君娣</t>
  </si>
  <si>
    <t>马聿萱</t>
  </si>
  <si>
    <t>王飒</t>
  </si>
  <si>
    <t>徐州</t>
  </si>
  <si>
    <t>方菲</t>
  </si>
  <si>
    <t>李嘉雯</t>
  </si>
  <si>
    <t>张巍</t>
  </si>
  <si>
    <t>刘峥</t>
  </si>
  <si>
    <t>周杰</t>
  </si>
  <si>
    <t>郭雅茹</t>
  </si>
  <si>
    <t>杨欢欢</t>
  </si>
  <si>
    <t>张苗苗</t>
  </si>
  <si>
    <t>汪薇馨</t>
  </si>
  <si>
    <t>胡鑫</t>
  </si>
  <si>
    <t>高原</t>
  </si>
  <si>
    <t>杨琳琳</t>
  </si>
  <si>
    <t>冉馨</t>
  </si>
  <si>
    <t>刘蒙恩</t>
  </si>
  <si>
    <t>06</t>
  </si>
  <si>
    <t>王甜甜</t>
  </si>
  <si>
    <t>李珊珊</t>
  </si>
  <si>
    <t>郑欣</t>
  </si>
  <si>
    <t>石阳</t>
  </si>
  <si>
    <t>杨柳</t>
  </si>
  <si>
    <t>涂梁圆</t>
  </si>
  <si>
    <t>杨秋池</t>
  </si>
  <si>
    <t>杨鑫</t>
  </si>
  <si>
    <t>张译文</t>
  </si>
  <si>
    <t>黄赛楠</t>
  </si>
  <si>
    <t>刘雅琳</t>
  </si>
  <si>
    <t>王贺</t>
  </si>
  <si>
    <t>李素然</t>
  </si>
  <si>
    <t>丁重阳</t>
  </si>
  <si>
    <t>江平</t>
  </si>
  <si>
    <t>胡学阳</t>
  </si>
  <si>
    <t>毛金波</t>
  </si>
  <si>
    <t>张行</t>
  </si>
  <si>
    <t>张宸嘉</t>
  </si>
  <si>
    <t>郭赟</t>
  </si>
  <si>
    <t>肖泽</t>
  </si>
  <si>
    <t>朱琳</t>
  </si>
  <si>
    <t>乐浩然</t>
  </si>
  <si>
    <t>张飒</t>
  </si>
  <si>
    <t>周贯霖</t>
  </si>
  <si>
    <t>安春晓</t>
  </si>
  <si>
    <t>李莎莎</t>
  </si>
  <si>
    <t>裴柯莹</t>
  </si>
  <si>
    <t>徐焱</t>
  </si>
  <si>
    <t>崔静</t>
  </si>
  <si>
    <t>蔡奇奇</t>
  </si>
  <si>
    <t>单陆凡</t>
  </si>
  <si>
    <t>武俊</t>
  </si>
  <si>
    <t>杜天宇</t>
  </si>
  <si>
    <t>刘起伸</t>
  </si>
  <si>
    <t>肖瑞玲</t>
  </si>
  <si>
    <t>孙子棠</t>
  </si>
  <si>
    <t>赵新</t>
  </si>
  <si>
    <t>魏爽</t>
  </si>
  <si>
    <t>海啸天</t>
  </si>
  <si>
    <t>王奕丹</t>
  </si>
  <si>
    <t>尚东升</t>
  </si>
  <si>
    <t>杨玉瑶</t>
  </si>
  <si>
    <t>王再丛</t>
  </si>
  <si>
    <t>卢鸿雁</t>
  </si>
  <si>
    <t>贾西良</t>
  </si>
  <si>
    <t>马煜珂</t>
  </si>
  <si>
    <t>赵瑞佳</t>
  </si>
  <si>
    <t>苏南北</t>
  </si>
  <si>
    <t>符玉涵</t>
  </si>
  <si>
    <t>孙玉珠</t>
  </si>
  <si>
    <t>张莹</t>
  </si>
  <si>
    <t>王振</t>
  </si>
  <si>
    <t>张博</t>
  </si>
  <si>
    <t>宋美雪</t>
  </si>
  <si>
    <t>白雨</t>
  </si>
  <si>
    <t>阙煜</t>
  </si>
  <si>
    <t>王金雪</t>
  </si>
  <si>
    <t>宋涵</t>
  </si>
  <si>
    <t>周小博</t>
  </si>
  <si>
    <t>李恩琪</t>
  </si>
  <si>
    <t>张婷</t>
  </si>
  <si>
    <t>李玉双</t>
  </si>
  <si>
    <t>贺宁</t>
  </si>
  <si>
    <t>张惜阳</t>
  </si>
  <si>
    <t>苟士娣</t>
  </si>
  <si>
    <t>刘蕊</t>
  </si>
  <si>
    <t>曲玉闪</t>
  </si>
  <si>
    <t>刘青</t>
  </si>
  <si>
    <t>付少杰</t>
  </si>
  <si>
    <t>何涵涵</t>
  </si>
  <si>
    <t>徐霄鹏</t>
  </si>
  <si>
    <t>马腾云</t>
  </si>
  <si>
    <t>韩哲</t>
  </si>
  <si>
    <t>周义朝</t>
  </si>
  <si>
    <t>冉玉萍</t>
  </si>
  <si>
    <t>孙培</t>
  </si>
  <si>
    <t>乔尹诗</t>
  </si>
  <si>
    <t>何洒洒</t>
  </si>
  <si>
    <t>王祎鸣</t>
  </si>
  <si>
    <t>姚月珍</t>
  </si>
  <si>
    <t>权鹏飞</t>
  </si>
  <si>
    <t>李昊</t>
  </si>
  <si>
    <t>熊佳皓</t>
  </si>
  <si>
    <t>刘昱</t>
  </si>
  <si>
    <t>张伟</t>
  </si>
  <si>
    <t>武怡</t>
  </si>
  <si>
    <t>冯杰玲</t>
  </si>
  <si>
    <t>王娅</t>
  </si>
  <si>
    <t>叶青茹</t>
  </si>
  <si>
    <t>邱燕菲</t>
  </si>
  <si>
    <t>周源</t>
  </si>
  <si>
    <t>杨咏</t>
  </si>
  <si>
    <t>剧孟宵</t>
  </si>
  <si>
    <t>张玲成</t>
  </si>
  <si>
    <t>贾西森</t>
  </si>
  <si>
    <t>庞柯柯</t>
  </si>
  <si>
    <t>冀宏茹</t>
  </si>
  <si>
    <t>衡柯儒</t>
  </si>
  <si>
    <t>尹阳子</t>
  </si>
  <si>
    <t>曹楠楠</t>
  </si>
  <si>
    <t>徐颖辉</t>
  </si>
  <si>
    <t>侯圆圆</t>
  </si>
  <si>
    <t>王艳青</t>
  </si>
  <si>
    <t>吴宗典</t>
  </si>
  <si>
    <t>李彬</t>
  </si>
  <si>
    <t>张怡博</t>
  </si>
  <si>
    <t>肖婉艳</t>
  </si>
  <si>
    <t>鲁明</t>
  </si>
  <si>
    <t>李雪婷</t>
  </si>
  <si>
    <t>郜璇</t>
  </si>
  <si>
    <t>田雪纯</t>
  </si>
  <si>
    <t>郭书君</t>
  </si>
  <si>
    <t>张志晓</t>
  </si>
  <si>
    <t>赤亚菲</t>
  </si>
  <si>
    <t>邓麟</t>
  </si>
  <si>
    <t>袁琳</t>
  </si>
  <si>
    <t>朱梦洁</t>
  </si>
  <si>
    <t>刘梦瑶</t>
  </si>
  <si>
    <t>贾乾坤</t>
  </si>
  <si>
    <t>张笑语</t>
  </si>
  <si>
    <t>王雪颖</t>
  </si>
  <si>
    <t>罗丹</t>
  </si>
  <si>
    <t>马亚柟</t>
  </si>
  <si>
    <t>常瀛</t>
  </si>
  <si>
    <t>唐江枫</t>
  </si>
  <si>
    <t>国宇龙</t>
  </si>
  <si>
    <t>邢启源</t>
  </si>
  <si>
    <t>薛飞</t>
  </si>
  <si>
    <t>张兴兴</t>
  </si>
  <si>
    <t>005-财政投资评审中心</t>
  </si>
  <si>
    <t>靖博伦</t>
  </si>
  <si>
    <t>王黎</t>
  </si>
  <si>
    <t>王寅伍</t>
  </si>
  <si>
    <t>李霞</t>
  </si>
  <si>
    <t>谢慧琦</t>
  </si>
  <si>
    <t>孙鹏</t>
  </si>
  <si>
    <t>杜可人</t>
  </si>
  <si>
    <t>黄孟</t>
  </si>
  <si>
    <t>孟辉</t>
  </si>
  <si>
    <t>006-电子政务中心</t>
  </si>
  <si>
    <t>王艺林</t>
  </si>
  <si>
    <t>牛德恩</t>
  </si>
  <si>
    <t>王育</t>
  </si>
  <si>
    <t>邱佳伟</t>
  </si>
  <si>
    <t>孙浩铭</t>
  </si>
  <si>
    <t>王珂</t>
  </si>
  <si>
    <t>翟国星</t>
  </si>
  <si>
    <t>冯暖</t>
  </si>
  <si>
    <t>王晓阳</t>
  </si>
  <si>
    <t>张倩</t>
  </si>
  <si>
    <t>牛方罡</t>
  </si>
  <si>
    <t>王亚楠</t>
  </si>
  <si>
    <t>郎俊龙</t>
  </si>
  <si>
    <t>赵玉东</t>
  </si>
  <si>
    <t>王以资</t>
  </si>
  <si>
    <t>白炜旻</t>
  </si>
  <si>
    <t>周霖铂</t>
  </si>
  <si>
    <t>王峥琦</t>
  </si>
  <si>
    <t>安春旺</t>
  </si>
  <si>
    <t>翟苑屹</t>
  </si>
  <si>
    <t>魏金兰</t>
  </si>
  <si>
    <t>董玉甫</t>
  </si>
  <si>
    <t>魏巍</t>
  </si>
  <si>
    <t>彭颖霞</t>
  </si>
  <si>
    <t>陈嘉乐</t>
  </si>
  <si>
    <t>尼海锋</t>
  </si>
  <si>
    <t>杨易</t>
  </si>
  <si>
    <t>李孟杰</t>
  </si>
  <si>
    <t>杨钰</t>
  </si>
  <si>
    <t>杨乾</t>
  </si>
  <si>
    <t>汪攀</t>
  </si>
  <si>
    <t>韩胜利</t>
  </si>
  <si>
    <t>刘邦</t>
  </si>
  <si>
    <t>王纯</t>
  </si>
  <si>
    <t>方闯</t>
  </si>
  <si>
    <t>孔一帆</t>
  </si>
  <si>
    <t>曾自航</t>
  </si>
  <si>
    <t>余放</t>
  </si>
  <si>
    <t>杨梦园</t>
  </si>
  <si>
    <t>李硕</t>
  </si>
  <si>
    <t>张萌</t>
  </si>
  <si>
    <t>林俊甫</t>
  </si>
  <si>
    <t>刘晓元</t>
  </si>
  <si>
    <t>刘杰锋</t>
  </si>
  <si>
    <t>郑亚楠</t>
  </si>
  <si>
    <t>余中倩</t>
  </si>
  <si>
    <t>李稳</t>
  </si>
  <si>
    <t>朱伦</t>
  </si>
  <si>
    <t>杜蒙</t>
  </si>
  <si>
    <t>何源</t>
  </si>
  <si>
    <t>刁子宛</t>
  </si>
  <si>
    <t>刘刚</t>
  </si>
  <si>
    <t>张靖玺</t>
  </si>
  <si>
    <t>魏呈恩</t>
  </si>
  <si>
    <t>王真</t>
  </si>
  <si>
    <t>郭锬桂</t>
  </si>
  <si>
    <t>朱焕然</t>
  </si>
  <si>
    <t>王鹏</t>
  </si>
  <si>
    <t>文夏秋</t>
  </si>
  <si>
    <t>李杨</t>
  </si>
  <si>
    <t>杨勇</t>
  </si>
  <si>
    <t>段博</t>
  </si>
  <si>
    <t>薛懿</t>
  </si>
  <si>
    <t>宋秉范</t>
  </si>
  <si>
    <t>常航</t>
  </si>
  <si>
    <t>杨飞扬</t>
  </si>
  <si>
    <t>耿玮婉</t>
  </si>
  <si>
    <t>黄喆</t>
  </si>
  <si>
    <t>赵豪</t>
  </si>
  <si>
    <t>郭志鹏</t>
  </si>
  <si>
    <t>王舒晗</t>
  </si>
  <si>
    <t>赵齐鲁</t>
  </si>
  <si>
    <t>曲文博</t>
  </si>
  <si>
    <t>陈稚雅</t>
  </si>
  <si>
    <t>路明明</t>
  </si>
  <si>
    <t>李杰东</t>
  </si>
  <si>
    <t>杨建</t>
  </si>
  <si>
    <t>兰明明</t>
  </si>
  <si>
    <t>乔锋</t>
  </si>
  <si>
    <t>牛鑫</t>
  </si>
  <si>
    <t>李宇卿</t>
  </si>
  <si>
    <t>薛良</t>
  </si>
  <si>
    <t>李若飞</t>
  </si>
  <si>
    <t>董少晗</t>
  </si>
  <si>
    <t>李征</t>
  </si>
  <si>
    <t>王晓辉</t>
  </si>
  <si>
    <t>樊亚龙</t>
  </si>
  <si>
    <t>007-房产服务中心</t>
  </si>
  <si>
    <t>张少辉</t>
  </si>
  <si>
    <t>王亚平</t>
  </si>
  <si>
    <t>吕宁</t>
  </si>
  <si>
    <t>李秋舒</t>
  </si>
  <si>
    <t>雷翼菲</t>
  </si>
  <si>
    <t>沈媛媛</t>
  </si>
  <si>
    <t>杨亚峰</t>
  </si>
  <si>
    <t>杨凯</t>
  </si>
  <si>
    <t>刘创</t>
  </si>
  <si>
    <t>马恒</t>
  </si>
  <si>
    <t>柳波</t>
  </si>
  <si>
    <t>张崇</t>
  </si>
  <si>
    <t>尹强</t>
  </si>
  <si>
    <t>景颖</t>
  </si>
  <si>
    <t>张一蕾</t>
  </si>
  <si>
    <t>王柳</t>
  </si>
  <si>
    <t>冯运宽</t>
  </si>
  <si>
    <t>李明</t>
  </si>
  <si>
    <t>康华春</t>
  </si>
  <si>
    <t>胡静漪</t>
  </si>
  <si>
    <t>樊策</t>
  </si>
  <si>
    <t>梁正</t>
  </si>
  <si>
    <t>张祯</t>
  </si>
  <si>
    <t>谢大奎</t>
  </si>
  <si>
    <t>张淦</t>
  </si>
  <si>
    <t>张堃</t>
  </si>
  <si>
    <t>刘星岳</t>
  </si>
  <si>
    <t>文玉菁</t>
  </si>
  <si>
    <t>蔡全胜</t>
  </si>
  <si>
    <t>孙唤唤</t>
  </si>
  <si>
    <t>王璋琪</t>
  </si>
  <si>
    <t>李向</t>
  </si>
  <si>
    <t>孙韶阳</t>
  </si>
  <si>
    <t>吕游</t>
  </si>
  <si>
    <t>李凌逸</t>
  </si>
  <si>
    <t>马永驰</t>
  </si>
  <si>
    <t>张林锦</t>
  </si>
  <si>
    <t>赵梦涵</t>
  </si>
  <si>
    <t>王遥</t>
  </si>
  <si>
    <t>王伟</t>
  </si>
  <si>
    <t>钟明明</t>
  </si>
  <si>
    <t>赵海清</t>
  </si>
  <si>
    <t>张峰</t>
  </si>
  <si>
    <t>贾丽文</t>
  </si>
  <si>
    <t>朱景耀</t>
  </si>
  <si>
    <t>孙斌</t>
  </si>
  <si>
    <t>尹帅</t>
  </si>
  <si>
    <t>李静</t>
  </si>
  <si>
    <t>安俊杰</t>
  </si>
  <si>
    <t>张智颖</t>
  </si>
  <si>
    <t>杨佳</t>
  </si>
  <si>
    <t>陈东</t>
  </si>
  <si>
    <t>刘文达</t>
  </si>
  <si>
    <t>李家豪</t>
  </si>
  <si>
    <t>陈营</t>
  </si>
  <si>
    <t>张盾</t>
  </si>
  <si>
    <t>余兴</t>
  </si>
  <si>
    <t>王佳静</t>
  </si>
  <si>
    <t>李江涛</t>
  </si>
  <si>
    <t>朱志鹏</t>
  </si>
  <si>
    <t>葛亚迪</t>
  </si>
  <si>
    <t>刘可</t>
  </si>
  <si>
    <t>苗春媛</t>
  </si>
  <si>
    <t>王冬楠</t>
  </si>
  <si>
    <t>刘轶铭</t>
  </si>
  <si>
    <t>张晓</t>
  </si>
  <si>
    <t>杜平颖</t>
  </si>
  <si>
    <t>张磊</t>
  </si>
  <si>
    <t>薛迪</t>
  </si>
  <si>
    <t>周炎焱</t>
  </si>
  <si>
    <t>张淼</t>
  </si>
  <si>
    <t>徐涛</t>
  </si>
  <si>
    <t>李东阳</t>
  </si>
  <si>
    <t>董智洋</t>
  </si>
  <si>
    <t>李治民</t>
  </si>
  <si>
    <t>邢彤</t>
  </si>
  <si>
    <t>齐晓楠</t>
  </si>
  <si>
    <t>李骄洋</t>
  </si>
  <si>
    <t>李新一</t>
  </si>
  <si>
    <t>郭忠颖</t>
  </si>
  <si>
    <t>谢永明</t>
  </si>
  <si>
    <t>任洪良</t>
  </si>
  <si>
    <t>刘海龙</t>
  </si>
  <si>
    <t>高航</t>
  </si>
  <si>
    <t>董许朋</t>
  </si>
  <si>
    <t>丁洛剑</t>
  </si>
  <si>
    <t>田青山</t>
  </si>
  <si>
    <t>关照</t>
  </si>
  <si>
    <t>夏茂盛</t>
  </si>
  <si>
    <t>侯培</t>
  </si>
  <si>
    <t>张理想</t>
  </si>
  <si>
    <t>牛亚楠</t>
  </si>
  <si>
    <t>孟丹丹</t>
  </si>
  <si>
    <t>韩清丹</t>
  </si>
  <si>
    <t>刘璐璐</t>
  </si>
  <si>
    <t>张桢</t>
  </si>
  <si>
    <t>李丹</t>
  </si>
  <si>
    <t>闫梅</t>
  </si>
  <si>
    <t>徐东</t>
  </si>
  <si>
    <t>王宛秋</t>
  </si>
  <si>
    <t>高猛</t>
  </si>
  <si>
    <t>赵信信</t>
  </si>
  <si>
    <t>赵英浩</t>
  </si>
  <si>
    <t>殷建麾</t>
  </si>
  <si>
    <t>009-住房保障办公室</t>
  </si>
  <si>
    <t>李旭东</t>
  </si>
  <si>
    <t>包毅</t>
  </si>
  <si>
    <t>郭丹阳</t>
  </si>
  <si>
    <t>段皓天</t>
  </si>
  <si>
    <t>段书鹏</t>
  </si>
  <si>
    <t>高志浩</t>
  </si>
  <si>
    <t>赵俊</t>
  </si>
  <si>
    <t>文培尧</t>
  </si>
  <si>
    <t>胡一帆</t>
  </si>
  <si>
    <t>左乐</t>
  </si>
  <si>
    <t>杨海骥</t>
  </si>
  <si>
    <t>李宁</t>
  </si>
  <si>
    <t>袁冰</t>
  </si>
  <si>
    <t>孙增域</t>
  </si>
  <si>
    <t>杨文青</t>
  </si>
  <si>
    <t>陈九锡</t>
  </si>
  <si>
    <t>阚清月</t>
  </si>
  <si>
    <t>李壮</t>
  </si>
  <si>
    <t>景阔</t>
  </si>
  <si>
    <t>李珂灏</t>
  </si>
  <si>
    <t>雷金金</t>
  </si>
  <si>
    <t>白艳艳</t>
  </si>
  <si>
    <t>王茜</t>
  </si>
  <si>
    <t>黄童</t>
  </si>
  <si>
    <t>田野</t>
  </si>
  <si>
    <t>张东平</t>
  </si>
  <si>
    <t>杨志恒</t>
  </si>
  <si>
    <t>金光宇</t>
  </si>
  <si>
    <t>许雲理</t>
  </si>
  <si>
    <t>马草</t>
  </si>
  <si>
    <t>崔腾飞</t>
  </si>
  <si>
    <t>王静怡</t>
  </si>
  <si>
    <t>邓博</t>
  </si>
  <si>
    <t>彭留辉</t>
  </si>
  <si>
    <t>郝燕娇</t>
  </si>
  <si>
    <t>周松</t>
  </si>
  <si>
    <t>赵志平</t>
  </si>
  <si>
    <t>刘瑛卓</t>
  </si>
  <si>
    <t>石永祎</t>
  </si>
  <si>
    <t>张学贞</t>
  </si>
  <si>
    <t>刘东可</t>
  </si>
  <si>
    <t>余艳</t>
  </si>
  <si>
    <t>刘宇航</t>
  </si>
  <si>
    <t>段雷</t>
  </si>
  <si>
    <t>冯双双</t>
  </si>
  <si>
    <t>王霄</t>
  </si>
  <si>
    <t>陈凯</t>
  </si>
  <si>
    <t>陆桐扬</t>
  </si>
  <si>
    <t>吴凯</t>
  </si>
  <si>
    <t>寇闯</t>
  </si>
  <si>
    <t>韩毅</t>
  </si>
  <si>
    <t>011-交通战备办公室</t>
  </si>
  <si>
    <t>彭程远</t>
  </si>
  <si>
    <t>魏高崇</t>
  </si>
  <si>
    <t>李潇静</t>
  </si>
  <si>
    <t>高蓓</t>
  </si>
  <si>
    <t>孙佩闯</t>
  </si>
  <si>
    <t>刘若芸</t>
  </si>
  <si>
    <t>张良</t>
  </si>
  <si>
    <t>李燕红</t>
  </si>
  <si>
    <t>张玉良</t>
  </si>
  <si>
    <t>王喜</t>
  </si>
  <si>
    <t>熊培尧</t>
  </si>
  <si>
    <t>曹起</t>
  </si>
  <si>
    <t>沈明</t>
  </si>
  <si>
    <t>高飞</t>
  </si>
  <si>
    <t>李晓</t>
  </si>
  <si>
    <t>李秋遨</t>
  </si>
  <si>
    <t>庄申</t>
  </si>
  <si>
    <t>高朴拙</t>
  </si>
  <si>
    <t>王柏森</t>
  </si>
  <si>
    <t>李显政</t>
  </si>
  <si>
    <t>郭佳蔚</t>
  </si>
  <si>
    <t>孙耀</t>
  </si>
  <si>
    <t>王帅</t>
  </si>
  <si>
    <t>庞亮</t>
  </si>
  <si>
    <t>党帅</t>
  </si>
  <si>
    <t>李威</t>
  </si>
  <si>
    <t>吴迪</t>
  </si>
  <si>
    <t>文铎</t>
  </si>
  <si>
    <t>赵仁礼</t>
  </si>
  <si>
    <t>郑辰</t>
  </si>
  <si>
    <t>李子超</t>
  </si>
  <si>
    <t>刘辉</t>
  </si>
  <si>
    <t>郑军伟</t>
  </si>
  <si>
    <t>宗万寅</t>
  </si>
  <si>
    <t>杨重华</t>
  </si>
  <si>
    <t>王宇航</t>
  </si>
  <si>
    <t>赵新一</t>
  </si>
  <si>
    <t>马怡冰</t>
  </si>
  <si>
    <t>张乾</t>
  </si>
  <si>
    <t>魏文举</t>
  </si>
  <si>
    <t>胡敬民</t>
  </si>
  <si>
    <t>景雨</t>
  </si>
  <si>
    <t>王琼</t>
  </si>
  <si>
    <t>庞亚楠</t>
  </si>
  <si>
    <t>李东昱</t>
  </si>
  <si>
    <t>褚得志</t>
  </si>
  <si>
    <t>张小龙</t>
  </si>
  <si>
    <t>徐梁</t>
  </si>
  <si>
    <t>孔博</t>
  </si>
  <si>
    <t>013-水土保持站</t>
  </si>
  <si>
    <t>娄依琳</t>
  </si>
  <si>
    <t>彭治超</t>
  </si>
  <si>
    <t>王猛</t>
  </si>
  <si>
    <t>曾凡</t>
  </si>
  <si>
    <t>张亚军</t>
  </si>
  <si>
    <t>梁渊</t>
  </si>
  <si>
    <t>015-移民局</t>
  </si>
  <si>
    <t>齐文</t>
  </si>
  <si>
    <t>雷音</t>
  </si>
  <si>
    <t>扈安奇</t>
  </si>
  <si>
    <t>曲姗姗</t>
  </si>
  <si>
    <t>李梦圆</t>
  </si>
  <si>
    <t>张云松</t>
  </si>
  <si>
    <t>陈正尧</t>
  </si>
  <si>
    <t>李德兴</t>
  </si>
  <si>
    <t>曲博</t>
  </si>
  <si>
    <t>池国宏</t>
  </si>
  <si>
    <t>彭勃</t>
  </si>
  <si>
    <t>张烜烜</t>
  </si>
  <si>
    <t>闫珂</t>
  </si>
  <si>
    <t>徐垒</t>
  </si>
  <si>
    <t>刘勇</t>
  </si>
  <si>
    <t>景满楼</t>
  </si>
  <si>
    <t>周秋月</t>
  </si>
  <si>
    <t>祁领</t>
  </si>
  <si>
    <t>耿红超</t>
  </si>
  <si>
    <t>马靖塬</t>
  </si>
  <si>
    <t>王硕</t>
  </si>
  <si>
    <t>赵倩</t>
  </si>
  <si>
    <t>017-电子商务办公室</t>
  </si>
  <si>
    <t>惠胡岳</t>
  </si>
  <si>
    <t>魏婷</t>
  </si>
  <si>
    <t>张弛</t>
  </si>
  <si>
    <t>余洋</t>
  </si>
  <si>
    <t>王春晓</t>
  </si>
  <si>
    <t>李程远</t>
  </si>
  <si>
    <t>王崇</t>
  </si>
  <si>
    <t>李启梦</t>
  </si>
  <si>
    <t>李琳</t>
  </si>
  <si>
    <t>刘仕甲</t>
  </si>
  <si>
    <t>方晶晶</t>
  </si>
  <si>
    <t>宁琨玉</t>
  </si>
  <si>
    <t>刘亚东</t>
  </si>
  <si>
    <t>王展</t>
  </si>
  <si>
    <t>姬祥雨</t>
  </si>
  <si>
    <t>时豪</t>
  </si>
  <si>
    <t>牛准</t>
  </si>
  <si>
    <t>郑嵘</t>
  </si>
  <si>
    <t>喻飞飞</t>
  </si>
  <si>
    <t>李娜</t>
  </si>
  <si>
    <t>张培钰</t>
  </si>
  <si>
    <t>李昂</t>
  </si>
  <si>
    <t>李一帆</t>
  </si>
  <si>
    <t>赵晓明</t>
  </si>
  <si>
    <t>杨蕾</t>
  </si>
  <si>
    <t>史慧慧</t>
  </si>
  <si>
    <t>周雨晨</t>
  </si>
  <si>
    <t>郭存</t>
  </si>
  <si>
    <t>唐冰</t>
  </si>
  <si>
    <t>018-唐河县招商局</t>
  </si>
  <si>
    <t>曲鹏宇</t>
  </si>
  <si>
    <t>黄河</t>
  </si>
  <si>
    <t>白云倩</t>
  </si>
  <si>
    <t>高政</t>
  </si>
  <si>
    <t>李培</t>
  </si>
  <si>
    <t>李平安</t>
  </si>
  <si>
    <t>马红岩</t>
  </si>
  <si>
    <t>王赢</t>
  </si>
  <si>
    <t>陈瑾</t>
  </si>
  <si>
    <t>周俊甲</t>
  </si>
  <si>
    <t>王楠</t>
  </si>
  <si>
    <t>魏翠筠</t>
  </si>
  <si>
    <t>梁天</t>
  </si>
  <si>
    <t>张梦楠</t>
  </si>
  <si>
    <t>李晶</t>
  </si>
  <si>
    <t>赵盼盼</t>
  </si>
  <si>
    <t>赵丹辉</t>
  </si>
  <si>
    <t>张钰琛</t>
  </si>
  <si>
    <t>水源</t>
  </si>
  <si>
    <t>张琼</t>
  </si>
  <si>
    <t>杨震</t>
  </si>
  <si>
    <t>费思源</t>
  </si>
  <si>
    <t>白阳欣</t>
  </si>
  <si>
    <t>王旭柯</t>
  </si>
  <si>
    <t>李新策</t>
  </si>
  <si>
    <t>安然</t>
  </si>
  <si>
    <t>王舒悦</t>
  </si>
  <si>
    <t>李冰</t>
  </si>
  <si>
    <t>王谢张丽</t>
  </si>
  <si>
    <t>尹雨晴</t>
  </si>
  <si>
    <t>孙飞宇</t>
  </si>
  <si>
    <t>曲莹</t>
  </si>
  <si>
    <t>高佳辰</t>
  </si>
  <si>
    <t>杨笛</t>
  </si>
  <si>
    <t>高倩</t>
  </si>
  <si>
    <t>周婷婷</t>
  </si>
  <si>
    <t>刘鑫</t>
  </si>
  <si>
    <t>樊柏辰</t>
  </si>
  <si>
    <t>封芝合</t>
  </si>
  <si>
    <t>候福青</t>
  </si>
  <si>
    <t>赵一君</t>
  </si>
  <si>
    <t>梁镇</t>
  </si>
  <si>
    <t>李玉婉</t>
  </si>
  <si>
    <t>李一凡</t>
  </si>
  <si>
    <t>伍强</t>
  </si>
  <si>
    <t>乔河</t>
  </si>
  <si>
    <t>王浩</t>
  </si>
  <si>
    <t>孙孟迪</t>
  </si>
  <si>
    <t>秦海龙</t>
  </si>
  <si>
    <t>郭晓庆</t>
  </si>
  <si>
    <t>刘征</t>
  </si>
  <si>
    <t>吴金艳</t>
  </si>
  <si>
    <t>谢杰</t>
  </si>
  <si>
    <t>魏嘉杉</t>
  </si>
  <si>
    <t>郜湘琳</t>
  </si>
  <si>
    <t>张涧</t>
  </si>
  <si>
    <t>柳宏达</t>
  </si>
  <si>
    <t>卓远</t>
  </si>
  <si>
    <t>王厚祁</t>
  </si>
  <si>
    <t>张美祖</t>
  </si>
  <si>
    <t>李艳儒</t>
  </si>
  <si>
    <t>牛晓慧</t>
  </si>
  <si>
    <t>王晨露</t>
  </si>
  <si>
    <t>赵雨</t>
  </si>
  <si>
    <t>夏春秋</t>
  </si>
  <si>
    <t>邹依依</t>
  </si>
  <si>
    <t>王瑾</t>
  </si>
  <si>
    <t>惠金钊</t>
  </si>
  <si>
    <t>刘崑</t>
  </si>
  <si>
    <t>唐林</t>
  </si>
  <si>
    <t>朱贺</t>
  </si>
  <si>
    <t>丁宁</t>
  </si>
  <si>
    <t>宋洋</t>
  </si>
  <si>
    <t>宋政烨</t>
  </si>
  <si>
    <t>刘亚闯</t>
  </si>
  <si>
    <t>张聪</t>
  </si>
  <si>
    <t>李文平</t>
  </si>
  <si>
    <t>张嘉庆</t>
  </si>
  <si>
    <t>郭国利</t>
  </si>
  <si>
    <t>郭萌</t>
  </si>
  <si>
    <t>杨玉康</t>
  </si>
  <si>
    <t>刁珂</t>
  </si>
  <si>
    <t>王新宇</t>
  </si>
  <si>
    <t>王豪楠</t>
  </si>
  <si>
    <t>刘菲</t>
  </si>
  <si>
    <t>郭涛</t>
  </si>
  <si>
    <t>张雪阳</t>
  </si>
  <si>
    <t>尚佳辉</t>
  </si>
  <si>
    <t>刘一帆</t>
  </si>
  <si>
    <t>靳尚</t>
  </si>
  <si>
    <t>王钰洁</t>
  </si>
  <si>
    <t>张长江</t>
  </si>
  <si>
    <t>陈亭霖</t>
  </si>
  <si>
    <t>王希楠</t>
  </si>
  <si>
    <t>019-广播电视台</t>
  </si>
  <si>
    <t>荀志彬</t>
  </si>
  <si>
    <t>薛景</t>
  </si>
  <si>
    <t>张继晓</t>
  </si>
  <si>
    <t>任政安</t>
  </si>
  <si>
    <t>马灏阳</t>
  </si>
  <si>
    <t>张展嘉</t>
  </si>
  <si>
    <t>胡大贝</t>
  </si>
  <si>
    <t>冯钰雯</t>
  </si>
  <si>
    <t>欧若愚</t>
  </si>
  <si>
    <t>葛承昊</t>
  </si>
  <si>
    <t>吴旭</t>
  </si>
  <si>
    <t>罗靖</t>
  </si>
  <si>
    <t>武可心</t>
  </si>
  <si>
    <t>刘毅</t>
  </si>
  <si>
    <t>朱奉钦</t>
  </si>
  <si>
    <t>罗笑笑</t>
  </si>
  <si>
    <t>毛宛飞</t>
  </si>
  <si>
    <t>田永露</t>
  </si>
  <si>
    <t>戴博宇</t>
  </si>
  <si>
    <t>李静一</t>
  </si>
  <si>
    <t>崔力戈</t>
  </si>
  <si>
    <t>薛枫</t>
  </si>
  <si>
    <t>谢易霖</t>
  </si>
  <si>
    <t>高尚</t>
  </si>
  <si>
    <t>胡斌</t>
  </si>
  <si>
    <t>曲楠</t>
  </si>
  <si>
    <t>陈凯楠</t>
  </si>
  <si>
    <t>黄奇奇</t>
  </si>
  <si>
    <t>仝允理</t>
  </si>
  <si>
    <t>孙文君</t>
  </si>
  <si>
    <t>张珂心</t>
  </si>
  <si>
    <t>彭天帅</t>
  </si>
  <si>
    <t>刘少辉</t>
  </si>
  <si>
    <t>王振华</t>
  </si>
  <si>
    <t>陈莎莎</t>
  </si>
  <si>
    <t>张燕</t>
  </si>
  <si>
    <t>王光辉</t>
  </si>
  <si>
    <t>张寅鹏</t>
  </si>
  <si>
    <t>曲艺</t>
  </si>
  <si>
    <t>张晓娟</t>
  </si>
  <si>
    <t>熊力</t>
  </si>
  <si>
    <t>禹雪</t>
  </si>
  <si>
    <t>汪亚非</t>
  </si>
  <si>
    <t>丁傲冰</t>
  </si>
  <si>
    <t>张潇</t>
  </si>
  <si>
    <t>杨伦唯</t>
  </si>
  <si>
    <t>薄兰辉</t>
  </si>
  <si>
    <t>党仁远</t>
  </si>
  <si>
    <t>桂如秋</t>
  </si>
  <si>
    <t>翟浩同</t>
  </si>
  <si>
    <t>冯也从</t>
  </si>
  <si>
    <t>吴梦娇</t>
  </si>
  <si>
    <t>安童雨</t>
  </si>
  <si>
    <t>王淑贤</t>
  </si>
  <si>
    <t>潘晓</t>
  </si>
  <si>
    <t>崔颖</t>
  </si>
  <si>
    <t>陈林</t>
  </si>
  <si>
    <t>张文倩</t>
  </si>
  <si>
    <t>仝亮</t>
  </si>
  <si>
    <t>冉少霞</t>
  </si>
  <si>
    <t>周鹏飞</t>
  </si>
  <si>
    <t>刘瑞琦</t>
  </si>
  <si>
    <t>王航天</t>
  </si>
  <si>
    <t>王冠乔</t>
  </si>
  <si>
    <t>齐华杨</t>
  </si>
  <si>
    <t>杨艺鹏</t>
  </si>
  <si>
    <t>姚源</t>
  </si>
  <si>
    <t>王秋婷</t>
  </si>
  <si>
    <t>曾繁瑜</t>
  </si>
  <si>
    <t>张泽鑫</t>
  </si>
  <si>
    <t>杨得草</t>
  </si>
  <si>
    <t>牛心悦</t>
  </si>
  <si>
    <t>刘欣</t>
  </si>
  <si>
    <t>021-美术馆</t>
  </si>
  <si>
    <t>白卓</t>
  </si>
  <si>
    <t>高改</t>
  </si>
  <si>
    <t>王竹林</t>
  </si>
  <si>
    <t>王雪</t>
  </si>
  <si>
    <t>翟鹏岳</t>
  </si>
  <si>
    <t>曲贝</t>
  </si>
  <si>
    <t>陈帅孜</t>
  </si>
  <si>
    <t>史歌</t>
  </si>
  <si>
    <t>杜林林</t>
  </si>
  <si>
    <t>阮瑞琰</t>
  </si>
  <si>
    <t>符冬航</t>
  </si>
  <si>
    <t>周林雨</t>
  </si>
  <si>
    <t>邓鑫</t>
  </si>
  <si>
    <t>朱占宇</t>
  </si>
  <si>
    <t>韩玉</t>
  </si>
  <si>
    <t>文丹阳</t>
  </si>
  <si>
    <t>赵皖皖</t>
  </si>
  <si>
    <t>赵霜悦</t>
  </si>
  <si>
    <t>刘佳林</t>
  </si>
  <si>
    <t>徐礼娜</t>
  </si>
  <si>
    <t>刘振阳</t>
  </si>
  <si>
    <t>王淼</t>
  </si>
  <si>
    <t>黄文</t>
  </si>
  <si>
    <t>022-博物馆</t>
  </si>
  <si>
    <t>杨晨玥</t>
  </si>
  <si>
    <t>肖恒</t>
  </si>
  <si>
    <t>李乐</t>
  </si>
  <si>
    <t>023-退役军人服务中心</t>
  </si>
  <si>
    <t>牛昱鑫</t>
  </si>
  <si>
    <t>仝宏业</t>
  </si>
  <si>
    <t>宋佳凝</t>
  </si>
  <si>
    <t>宗博华</t>
  </si>
  <si>
    <t>牛天鹏</t>
  </si>
  <si>
    <t>焦迪</t>
  </si>
  <si>
    <t>徐征</t>
  </si>
  <si>
    <t>赵梦雯</t>
  </si>
  <si>
    <t>李莎</t>
  </si>
  <si>
    <t>王江河</t>
  </si>
  <si>
    <t>孙暖</t>
  </si>
  <si>
    <t>赵恒</t>
  </si>
  <si>
    <t>宋婉晴</t>
  </si>
  <si>
    <t>许晗童</t>
  </si>
  <si>
    <t>张霜枫</t>
  </si>
  <si>
    <t>刘天祥</t>
  </si>
  <si>
    <t>王慧敏</t>
  </si>
  <si>
    <t>靖岸滨</t>
  </si>
  <si>
    <t>陈施宇</t>
  </si>
  <si>
    <t>宋扬</t>
  </si>
  <si>
    <t>杨成豪</t>
  </si>
  <si>
    <t>张晴漫</t>
  </si>
  <si>
    <t>王松滋</t>
  </si>
  <si>
    <t>孙加成</t>
  </si>
  <si>
    <t>陈旸</t>
  </si>
  <si>
    <t>杨正楠</t>
  </si>
  <si>
    <t>黄媛</t>
  </si>
  <si>
    <t>张宏</t>
  </si>
  <si>
    <t>石香润</t>
  </si>
  <si>
    <t>冯胜</t>
  </si>
  <si>
    <t>刘金梦</t>
  </si>
  <si>
    <t>郜家贤</t>
  </si>
  <si>
    <t>房丽娇</t>
  </si>
  <si>
    <t>卢荣鑫</t>
  </si>
  <si>
    <t>孙鸿博</t>
  </si>
  <si>
    <t>杜松涛</t>
  </si>
  <si>
    <t>张册</t>
  </si>
  <si>
    <t>赵萌萌</t>
  </si>
  <si>
    <t>张清霖</t>
  </si>
  <si>
    <t>王贯成</t>
  </si>
  <si>
    <t>孙启航</t>
  </si>
  <si>
    <t>杜东昕</t>
  </si>
  <si>
    <t>李辉</t>
  </si>
  <si>
    <t>肖聪聪</t>
  </si>
  <si>
    <t>郭辉</t>
  </si>
  <si>
    <t>柴瑞鑫</t>
  </si>
  <si>
    <t>龚丹丹</t>
  </si>
  <si>
    <t>王彩</t>
  </si>
  <si>
    <t>杨乐恒</t>
  </si>
  <si>
    <t>樊洁敏</t>
  </si>
  <si>
    <t>余瑞东</t>
  </si>
  <si>
    <t>左璐瑶</t>
  </si>
  <si>
    <t>王雅诺</t>
  </si>
  <si>
    <t>袁夏菂</t>
  </si>
  <si>
    <t>韩月</t>
  </si>
  <si>
    <t>吕姗</t>
  </si>
  <si>
    <t>陈潘亭</t>
  </si>
  <si>
    <t>张彬</t>
  </si>
  <si>
    <t>024-医疗保险中心</t>
  </si>
  <si>
    <t>赵委航</t>
  </si>
  <si>
    <t>郑俊雅</t>
  </si>
  <si>
    <t>刘梦钰</t>
  </si>
  <si>
    <t>罗铭</t>
  </si>
  <si>
    <t>赵宏沅</t>
  </si>
  <si>
    <t>刘青华</t>
  </si>
  <si>
    <t>李俊艳</t>
  </si>
  <si>
    <t>陈硕</t>
  </si>
  <si>
    <t>雷亚楠</t>
  </si>
  <si>
    <t>崔文杰</t>
  </si>
  <si>
    <t>付爽</t>
  </si>
  <si>
    <t>原晨馨</t>
  </si>
  <si>
    <t>王荦</t>
  </si>
  <si>
    <t>陈飞</t>
  </si>
  <si>
    <t>李星黎</t>
  </si>
  <si>
    <t>郑升伟</t>
  </si>
  <si>
    <t>郑晓</t>
  </si>
  <si>
    <t>王兴</t>
  </si>
  <si>
    <t>李琳琳</t>
  </si>
  <si>
    <t>段晓娜</t>
  </si>
  <si>
    <t>刘瀚文</t>
  </si>
  <si>
    <t>方璐</t>
  </si>
  <si>
    <t>刘厚</t>
  </si>
  <si>
    <t>刘玉珠</t>
  </si>
  <si>
    <t>梁玉</t>
  </si>
  <si>
    <t>黎璐璐</t>
  </si>
  <si>
    <t>李光明</t>
  </si>
  <si>
    <t>汪庆鹤</t>
  </si>
  <si>
    <t>韩冰</t>
  </si>
  <si>
    <t>王栋</t>
  </si>
  <si>
    <t>彭琼</t>
  </si>
  <si>
    <t>孙宏燕</t>
  </si>
  <si>
    <t>蔡姗姗</t>
  </si>
  <si>
    <t>025-扶贫开发信息中心</t>
  </si>
  <si>
    <t>蒋钊</t>
  </si>
  <si>
    <t>陈卓</t>
  </si>
  <si>
    <t>金旭源</t>
  </si>
  <si>
    <t>胡云飞</t>
  </si>
  <si>
    <t>王诗绘</t>
  </si>
  <si>
    <t>黄斐</t>
  </si>
  <si>
    <t>张华磊</t>
  </si>
  <si>
    <t>张艳</t>
  </si>
  <si>
    <t>宗崇</t>
  </si>
  <si>
    <t>丁一</t>
  </si>
  <si>
    <t>郭志林</t>
  </si>
  <si>
    <t>丁世超</t>
  </si>
  <si>
    <t>宁月</t>
  </si>
  <si>
    <t>张迎博</t>
  </si>
  <si>
    <t>梁珂</t>
  </si>
  <si>
    <t>周梦琳</t>
  </si>
  <si>
    <t>张鑫</t>
  </si>
  <si>
    <t>胡玉洋</t>
  </si>
  <si>
    <t>李慧</t>
  </si>
  <si>
    <t>赵振宇</t>
  </si>
  <si>
    <t>陈丹</t>
  </si>
  <si>
    <t>王培</t>
  </si>
  <si>
    <t>026-唐河县城管局</t>
  </si>
  <si>
    <t>刘宾</t>
  </si>
  <si>
    <t>张明明</t>
  </si>
  <si>
    <t>郭增蕾</t>
  </si>
  <si>
    <t>张宏炜</t>
  </si>
  <si>
    <t>韩迎儒</t>
  </si>
  <si>
    <t>马蕊鑫</t>
  </si>
  <si>
    <t>徐袖博</t>
  </si>
  <si>
    <t>王和音</t>
  </si>
  <si>
    <t>雷鸣</t>
  </si>
  <si>
    <t>刘昊天</t>
  </si>
  <si>
    <t>何清山</t>
  </si>
  <si>
    <t>028-林业科学研究所</t>
  </si>
  <si>
    <t>张清钰</t>
  </si>
  <si>
    <t>赵佳欣</t>
  </si>
  <si>
    <t>张煜</t>
  </si>
  <si>
    <t>周玲玉</t>
  </si>
  <si>
    <t>冯朝阳</t>
  </si>
  <si>
    <t>张红稳</t>
  </si>
  <si>
    <t>谭弘礼</t>
  </si>
  <si>
    <t>贾文君</t>
  </si>
  <si>
    <t>廖秋石</t>
  </si>
  <si>
    <t>常建北</t>
  </si>
  <si>
    <t>武凯凯</t>
  </si>
  <si>
    <t>樊琰</t>
  </si>
  <si>
    <t>徐周</t>
  </si>
  <si>
    <t>李萌</t>
  </si>
  <si>
    <t>高营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</si>
</sst>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20" fillId="2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8" borderId="6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4" fillId="13" borderId="5" applyNumberFormat="0" applyAlignment="0" applyProtection="0">
      <alignment vertical="center"/>
    </xf>
    <xf numFmtId="0" fontId="13" fillId="13" borderId="4" applyNumberFormat="0" applyAlignment="0" applyProtection="0">
      <alignment vertical="center"/>
    </xf>
    <xf numFmtId="0" fontId="6" fillId="5" borderId="2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89"/>
  <sheetViews>
    <sheetView tabSelected="1" topLeftCell="A1066" workbookViewId="0">
      <selection activeCell="G1089" sqref="G1089"/>
    </sheetView>
  </sheetViews>
  <sheetFormatPr defaultColWidth="9" defaultRowHeight="13.5"/>
  <cols>
    <col min="1" max="1" width="25.5" style="2" customWidth="1"/>
    <col min="2" max="2" width="8" style="2" customWidth="1"/>
    <col min="3" max="3" width="5.625" style="2" customWidth="1"/>
    <col min="4" max="4" width="19.75" style="2" customWidth="1"/>
    <col min="5" max="5" width="12.375" style="2" customWidth="1"/>
    <col min="6" max="6" width="7.125" style="2" customWidth="1"/>
    <col min="7" max="7" width="7.25" style="2" customWidth="1"/>
    <col min="8" max="8" width="11.75" style="2" customWidth="1"/>
    <col min="9" max="9" width="11" style="2" customWidth="1"/>
    <col min="10" max="10" width="9" style="3"/>
    <col min="11" max="16384" width="9" style="2"/>
  </cols>
  <sheetData>
    <row r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pans="1:10">
      <c r="A2" s="4"/>
      <c r="B2" s="4"/>
      <c r="C2" s="4"/>
      <c r="D2" s="4"/>
      <c r="E2" s="4"/>
      <c r="F2" s="4"/>
      <c r="G2" s="4"/>
      <c r="H2" s="4"/>
      <c r="I2" s="4"/>
      <c r="J2" s="4"/>
    </row>
    <row r="3" ht="14.25" spans="1:10">
      <c r="A3" s="5" t="s">
        <v>1</v>
      </c>
      <c r="B3" s="5" t="s">
        <v>2</v>
      </c>
      <c r="C3" s="5" t="s">
        <v>3</v>
      </c>
      <c r="D3" s="5" t="s">
        <v>4</v>
      </c>
      <c r="E3" s="6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</row>
    <row r="4" ht="14.25" spans="1:10">
      <c r="A4" s="7" t="s">
        <v>11</v>
      </c>
      <c r="B4" s="7" t="s">
        <v>12</v>
      </c>
      <c r="C4" s="7" t="str">
        <f t="shared" ref="C4:C67" si="0">IF(MOD(MID(D4,17,1),2),"男","女")</f>
        <v>男</v>
      </c>
      <c r="D4" s="7" t="str">
        <f>"411381199310230315"</f>
        <v>411381199310230315</v>
      </c>
      <c r="E4" s="8" t="str">
        <f>"10960010101"</f>
        <v>10960010101</v>
      </c>
      <c r="F4" s="7" t="str">
        <f t="shared" ref="F4:F33" si="1">"01"</f>
        <v>01</v>
      </c>
      <c r="G4" s="7" t="str">
        <f>"01"</f>
        <v>01</v>
      </c>
      <c r="H4" s="7" t="s">
        <v>13</v>
      </c>
      <c r="I4" s="7" t="s">
        <v>14</v>
      </c>
      <c r="J4" s="9"/>
    </row>
    <row r="5" ht="14.25" spans="1:10">
      <c r="A5" s="7" t="s">
        <v>11</v>
      </c>
      <c r="B5" s="7" t="s">
        <v>15</v>
      </c>
      <c r="C5" s="7" t="str">
        <f t="shared" si="0"/>
        <v>女</v>
      </c>
      <c r="D5" s="7" t="str">
        <f>"41132519950408866X"</f>
        <v>41132519950408866X</v>
      </c>
      <c r="E5" s="8" t="str">
        <f>"10960010102"</f>
        <v>10960010102</v>
      </c>
      <c r="F5" s="7" t="str">
        <f t="shared" si="1"/>
        <v>01</v>
      </c>
      <c r="G5" s="7" t="str">
        <f>"02"</f>
        <v>02</v>
      </c>
      <c r="H5" s="7" t="s">
        <v>13</v>
      </c>
      <c r="I5" s="7" t="s">
        <v>14</v>
      </c>
      <c r="J5" s="9"/>
    </row>
    <row r="6" ht="14.25" spans="1:10">
      <c r="A6" s="7" t="s">
        <v>11</v>
      </c>
      <c r="B6" s="7" t="s">
        <v>16</v>
      </c>
      <c r="C6" s="7" t="str">
        <f t="shared" si="0"/>
        <v>男</v>
      </c>
      <c r="D6" s="7" t="str">
        <f>"41132519960325001X"</f>
        <v>41132519960325001X</v>
      </c>
      <c r="E6" s="8" t="str">
        <f>"10960010103"</f>
        <v>10960010103</v>
      </c>
      <c r="F6" s="7" t="str">
        <f t="shared" si="1"/>
        <v>01</v>
      </c>
      <c r="G6" s="7" t="str">
        <f>"03"</f>
        <v>03</v>
      </c>
      <c r="H6" s="7" t="s">
        <v>13</v>
      </c>
      <c r="I6" s="7">
        <v>67.2</v>
      </c>
      <c r="J6" s="9"/>
    </row>
    <row r="7" ht="14.25" spans="1:10">
      <c r="A7" s="7" t="s">
        <v>11</v>
      </c>
      <c r="B7" s="7" t="s">
        <v>17</v>
      </c>
      <c r="C7" s="7" t="str">
        <f t="shared" si="0"/>
        <v>女</v>
      </c>
      <c r="D7" s="7" t="str">
        <f>"411302199508206067"</f>
        <v>411302199508206067</v>
      </c>
      <c r="E7" s="8" t="str">
        <f>"10960010104"</f>
        <v>10960010104</v>
      </c>
      <c r="F7" s="7" t="str">
        <f t="shared" si="1"/>
        <v>01</v>
      </c>
      <c r="G7" s="7" t="str">
        <f>"04"</f>
        <v>04</v>
      </c>
      <c r="H7" s="7" t="s">
        <v>13</v>
      </c>
      <c r="I7" s="7" t="s">
        <v>14</v>
      </c>
      <c r="J7" s="9"/>
    </row>
    <row r="8" ht="14.25" spans="1:10">
      <c r="A8" s="7" t="s">
        <v>11</v>
      </c>
      <c r="B8" s="7" t="s">
        <v>18</v>
      </c>
      <c r="C8" s="7" t="str">
        <f t="shared" si="0"/>
        <v>女</v>
      </c>
      <c r="D8" s="7" t="str">
        <f>"411303199602111829"</f>
        <v>411303199602111829</v>
      </c>
      <c r="E8" s="8" t="str">
        <f>"10960010105"</f>
        <v>10960010105</v>
      </c>
      <c r="F8" s="7" t="str">
        <f t="shared" si="1"/>
        <v>01</v>
      </c>
      <c r="G8" s="7" t="str">
        <f>"05"</f>
        <v>05</v>
      </c>
      <c r="H8" s="7" t="s">
        <v>13</v>
      </c>
      <c r="I8" s="7">
        <v>64.5</v>
      </c>
      <c r="J8" s="9"/>
    </row>
    <row r="9" ht="14.25" spans="1:10">
      <c r="A9" s="7" t="s">
        <v>11</v>
      </c>
      <c r="B9" s="7" t="s">
        <v>19</v>
      </c>
      <c r="C9" s="7" t="str">
        <f t="shared" si="0"/>
        <v>女</v>
      </c>
      <c r="D9" s="7" t="str">
        <f>"411325199607217823"</f>
        <v>411325199607217823</v>
      </c>
      <c r="E9" s="8" t="str">
        <f>"10960010106"</f>
        <v>10960010106</v>
      </c>
      <c r="F9" s="7" t="str">
        <f t="shared" si="1"/>
        <v>01</v>
      </c>
      <c r="G9" s="7" t="str">
        <f>"06"</f>
        <v>06</v>
      </c>
      <c r="H9" s="7" t="s">
        <v>13</v>
      </c>
      <c r="I9" s="7" t="s">
        <v>14</v>
      </c>
      <c r="J9" s="9"/>
    </row>
    <row r="10" ht="14.25" spans="1:10">
      <c r="A10" s="7" t="s">
        <v>11</v>
      </c>
      <c r="B10" s="7" t="s">
        <v>20</v>
      </c>
      <c r="C10" s="7" t="str">
        <f t="shared" si="0"/>
        <v>女</v>
      </c>
      <c r="D10" s="7" t="str">
        <f>"411322199805090342"</f>
        <v>411322199805090342</v>
      </c>
      <c r="E10" s="8" t="str">
        <f>"10960010107"</f>
        <v>10960010107</v>
      </c>
      <c r="F10" s="7" t="str">
        <f t="shared" si="1"/>
        <v>01</v>
      </c>
      <c r="G10" s="7" t="str">
        <f>"07"</f>
        <v>07</v>
      </c>
      <c r="H10" s="7" t="s">
        <v>13</v>
      </c>
      <c r="I10" s="7" t="s">
        <v>14</v>
      </c>
      <c r="J10" s="9"/>
    </row>
    <row r="11" ht="14.25" spans="1:10">
      <c r="A11" s="7" t="s">
        <v>11</v>
      </c>
      <c r="B11" s="7" t="s">
        <v>21</v>
      </c>
      <c r="C11" s="7" t="str">
        <f t="shared" si="0"/>
        <v>男</v>
      </c>
      <c r="D11" s="7" t="str">
        <f>"41132519970128001X"</f>
        <v>41132519970128001X</v>
      </c>
      <c r="E11" s="8" t="str">
        <f>"10960010108"</f>
        <v>10960010108</v>
      </c>
      <c r="F11" s="7" t="str">
        <f t="shared" si="1"/>
        <v>01</v>
      </c>
      <c r="G11" s="7" t="str">
        <f>"08"</f>
        <v>08</v>
      </c>
      <c r="H11" s="7" t="s">
        <v>13</v>
      </c>
      <c r="I11" s="7">
        <v>61.8</v>
      </c>
      <c r="J11" s="9"/>
    </row>
    <row r="12" ht="14.25" spans="1:10">
      <c r="A12" s="7" t="s">
        <v>11</v>
      </c>
      <c r="B12" s="7" t="s">
        <v>22</v>
      </c>
      <c r="C12" s="7" t="str">
        <f t="shared" si="0"/>
        <v>女</v>
      </c>
      <c r="D12" s="7" t="str">
        <f>"411325199809121328"</f>
        <v>411325199809121328</v>
      </c>
      <c r="E12" s="8" t="str">
        <f>"10960010109"</f>
        <v>10960010109</v>
      </c>
      <c r="F12" s="7" t="str">
        <f t="shared" si="1"/>
        <v>01</v>
      </c>
      <c r="G12" s="7" t="str">
        <f>"09"</f>
        <v>09</v>
      </c>
      <c r="H12" s="7" t="s">
        <v>13</v>
      </c>
      <c r="I12" s="7">
        <v>66.3</v>
      </c>
      <c r="J12" s="9"/>
    </row>
    <row r="13" ht="14.25" spans="1:10">
      <c r="A13" s="7" t="s">
        <v>11</v>
      </c>
      <c r="B13" s="7" t="s">
        <v>23</v>
      </c>
      <c r="C13" s="7" t="str">
        <f t="shared" si="0"/>
        <v>男</v>
      </c>
      <c r="D13" s="7" t="str">
        <f>"411303199707306737"</f>
        <v>411303199707306737</v>
      </c>
      <c r="E13" s="8" t="str">
        <f>"10960010110"</f>
        <v>10960010110</v>
      </c>
      <c r="F13" s="7" t="str">
        <f t="shared" si="1"/>
        <v>01</v>
      </c>
      <c r="G13" s="7" t="str">
        <f>"10"</f>
        <v>10</v>
      </c>
      <c r="H13" s="7" t="s">
        <v>13</v>
      </c>
      <c r="I13" s="7">
        <v>67.7</v>
      </c>
      <c r="J13" s="9"/>
    </row>
    <row r="14" ht="14.25" spans="1:10">
      <c r="A14" s="7" t="s">
        <v>11</v>
      </c>
      <c r="B14" s="7" t="s">
        <v>24</v>
      </c>
      <c r="C14" s="7" t="str">
        <f t="shared" si="0"/>
        <v>女</v>
      </c>
      <c r="D14" s="7" t="str">
        <f>"411325199107050027"</f>
        <v>411325199107050027</v>
      </c>
      <c r="E14" s="8" t="str">
        <f>"10960010111"</f>
        <v>10960010111</v>
      </c>
      <c r="F14" s="7" t="str">
        <f t="shared" si="1"/>
        <v>01</v>
      </c>
      <c r="G14" s="7" t="str">
        <f>"11"</f>
        <v>11</v>
      </c>
      <c r="H14" s="7" t="s">
        <v>13</v>
      </c>
      <c r="I14" s="7">
        <v>57.1</v>
      </c>
      <c r="J14" s="9"/>
    </row>
    <row r="15" ht="14.25" spans="1:10">
      <c r="A15" s="7" t="s">
        <v>11</v>
      </c>
      <c r="B15" s="7" t="s">
        <v>25</v>
      </c>
      <c r="C15" s="7" t="str">
        <f t="shared" si="0"/>
        <v>男</v>
      </c>
      <c r="D15" s="7" t="str">
        <f>"411328199508141332"</f>
        <v>411328199508141332</v>
      </c>
      <c r="E15" s="8" t="str">
        <f>"10960010112"</f>
        <v>10960010112</v>
      </c>
      <c r="F15" s="7" t="str">
        <f t="shared" si="1"/>
        <v>01</v>
      </c>
      <c r="G15" s="7" t="str">
        <f>"12"</f>
        <v>12</v>
      </c>
      <c r="H15" s="7" t="s">
        <v>13</v>
      </c>
      <c r="I15" s="7" t="s">
        <v>14</v>
      </c>
      <c r="J15" s="9"/>
    </row>
    <row r="16" ht="14.25" spans="1:10">
      <c r="A16" s="7" t="s">
        <v>11</v>
      </c>
      <c r="B16" s="7" t="s">
        <v>26</v>
      </c>
      <c r="C16" s="7" t="str">
        <f t="shared" si="0"/>
        <v>男</v>
      </c>
      <c r="D16" s="7" t="str">
        <f>"411321199704200016"</f>
        <v>411321199704200016</v>
      </c>
      <c r="E16" s="8" t="str">
        <f>"10960010113"</f>
        <v>10960010113</v>
      </c>
      <c r="F16" s="7" t="str">
        <f t="shared" si="1"/>
        <v>01</v>
      </c>
      <c r="G16" s="7" t="str">
        <f>"13"</f>
        <v>13</v>
      </c>
      <c r="H16" s="7" t="s">
        <v>13</v>
      </c>
      <c r="I16" s="7" t="s">
        <v>14</v>
      </c>
      <c r="J16" s="9"/>
    </row>
    <row r="17" ht="14.25" spans="1:10">
      <c r="A17" s="7" t="s">
        <v>11</v>
      </c>
      <c r="B17" s="7" t="s">
        <v>27</v>
      </c>
      <c r="C17" s="7" t="str">
        <f t="shared" si="0"/>
        <v>女</v>
      </c>
      <c r="D17" s="7" t="str">
        <f>"411325199707212325"</f>
        <v>411325199707212325</v>
      </c>
      <c r="E17" s="8" t="str">
        <f>"10960010114"</f>
        <v>10960010114</v>
      </c>
      <c r="F17" s="7" t="str">
        <f t="shared" si="1"/>
        <v>01</v>
      </c>
      <c r="G17" s="7" t="str">
        <f>"14"</f>
        <v>14</v>
      </c>
      <c r="H17" s="7" t="s">
        <v>13</v>
      </c>
      <c r="I17" s="7">
        <v>67.4</v>
      </c>
      <c r="J17" s="9"/>
    </row>
    <row r="18" ht="14.25" spans="1:10">
      <c r="A18" s="7" t="s">
        <v>11</v>
      </c>
      <c r="B18" s="7" t="s">
        <v>28</v>
      </c>
      <c r="C18" s="7" t="str">
        <f t="shared" si="0"/>
        <v>男</v>
      </c>
      <c r="D18" s="7" t="str">
        <f>"41282219910528411X"</f>
        <v>41282219910528411X</v>
      </c>
      <c r="E18" s="8" t="str">
        <f>"10960010115"</f>
        <v>10960010115</v>
      </c>
      <c r="F18" s="7" t="str">
        <f t="shared" si="1"/>
        <v>01</v>
      </c>
      <c r="G18" s="7" t="str">
        <f>"15"</f>
        <v>15</v>
      </c>
      <c r="H18" s="7" t="s">
        <v>13</v>
      </c>
      <c r="I18" s="7" t="s">
        <v>14</v>
      </c>
      <c r="J18" s="9"/>
    </row>
    <row r="19" ht="14.25" spans="1:10">
      <c r="A19" s="7" t="s">
        <v>11</v>
      </c>
      <c r="B19" s="7" t="s">
        <v>29</v>
      </c>
      <c r="C19" s="7" t="str">
        <f t="shared" si="0"/>
        <v>女</v>
      </c>
      <c r="D19" s="7" t="str">
        <f>"411328199712010663"</f>
        <v>411328199712010663</v>
      </c>
      <c r="E19" s="8" t="str">
        <f>"10960010116"</f>
        <v>10960010116</v>
      </c>
      <c r="F19" s="7" t="str">
        <f t="shared" si="1"/>
        <v>01</v>
      </c>
      <c r="G19" s="7" t="str">
        <f>"16"</f>
        <v>16</v>
      </c>
      <c r="H19" s="7" t="s">
        <v>13</v>
      </c>
      <c r="I19" s="7" t="s">
        <v>14</v>
      </c>
      <c r="J19" s="9"/>
    </row>
    <row r="20" ht="14.25" spans="1:10">
      <c r="A20" s="7" t="s">
        <v>11</v>
      </c>
      <c r="B20" s="7" t="s">
        <v>30</v>
      </c>
      <c r="C20" s="7" t="str">
        <f t="shared" si="0"/>
        <v>男</v>
      </c>
      <c r="D20" s="7" t="str">
        <f>"41022519940908105X"</f>
        <v>41022519940908105X</v>
      </c>
      <c r="E20" s="8" t="str">
        <f>"10960010117"</f>
        <v>10960010117</v>
      </c>
      <c r="F20" s="7" t="str">
        <f t="shared" si="1"/>
        <v>01</v>
      </c>
      <c r="G20" s="7" t="str">
        <f>"17"</f>
        <v>17</v>
      </c>
      <c r="H20" s="7" t="s">
        <v>13</v>
      </c>
      <c r="I20" s="7" t="s">
        <v>14</v>
      </c>
      <c r="J20" s="9"/>
    </row>
    <row r="21" ht="14.25" spans="1:10">
      <c r="A21" s="7" t="s">
        <v>11</v>
      </c>
      <c r="B21" s="7" t="s">
        <v>31</v>
      </c>
      <c r="C21" s="7" t="str">
        <f t="shared" si="0"/>
        <v>男</v>
      </c>
      <c r="D21" s="7" t="str">
        <f>"411329199703060016"</f>
        <v>411329199703060016</v>
      </c>
      <c r="E21" s="8" t="str">
        <f>"10960010118"</f>
        <v>10960010118</v>
      </c>
      <c r="F21" s="7" t="str">
        <f t="shared" si="1"/>
        <v>01</v>
      </c>
      <c r="G21" s="7" t="str">
        <f>"18"</f>
        <v>18</v>
      </c>
      <c r="H21" s="7" t="s">
        <v>13</v>
      </c>
      <c r="I21" s="7" t="s">
        <v>14</v>
      </c>
      <c r="J21" s="9"/>
    </row>
    <row r="22" ht="14.25" spans="1:10">
      <c r="A22" s="7" t="s">
        <v>11</v>
      </c>
      <c r="B22" s="7" t="s">
        <v>32</v>
      </c>
      <c r="C22" s="7" t="str">
        <f t="shared" si="0"/>
        <v>女</v>
      </c>
      <c r="D22" s="7" t="str">
        <f>"411381199502097125"</f>
        <v>411381199502097125</v>
      </c>
      <c r="E22" s="8" t="str">
        <f>"10960010119"</f>
        <v>10960010119</v>
      </c>
      <c r="F22" s="7" t="str">
        <f t="shared" si="1"/>
        <v>01</v>
      </c>
      <c r="G22" s="7" t="str">
        <f>"19"</f>
        <v>19</v>
      </c>
      <c r="H22" s="7" t="s">
        <v>13</v>
      </c>
      <c r="I22" s="7">
        <v>49.2</v>
      </c>
      <c r="J22" s="9"/>
    </row>
    <row r="23" ht="14.25" spans="1:10">
      <c r="A23" s="7" t="s">
        <v>11</v>
      </c>
      <c r="B23" s="7" t="s">
        <v>33</v>
      </c>
      <c r="C23" s="7" t="str">
        <f t="shared" si="0"/>
        <v>女</v>
      </c>
      <c r="D23" s="7" t="str">
        <f>"411325199804220028"</f>
        <v>411325199804220028</v>
      </c>
      <c r="E23" s="8" t="str">
        <f>"10960010120"</f>
        <v>10960010120</v>
      </c>
      <c r="F23" s="7" t="str">
        <f t="shared" si="1"/>
        <v>01</v>
      </c>
      <c r="G23" s="7" t="str">
        <f>"20"</f>
        <v>20</v>
      </c>
      <c r="H23" s="7" t="s">
        <v>13</v>
      </c>
      <c r="I23" s="7" t="s">
        <v>14</v>
      </c>
      <c r="J23" s="9"/>
    </row>
    <row r="24" ht="14.25" spans="1:10">
      <c r="A24" s="7" t="s">
        <v>11</v>
      </c>
      <c r="B24" s="7" t="s">
        <v>34</v>
      </c>
      <c r="C24" s="7" t="str">
        <f t="shared" si="0"/>
        <v>女</v>
      </c>
      <c r="D24" s="7" t="str">
        <f>"411325199703250420"</f>
        <v>411325199703250420</v>
      </c>
      <c r="E24" s="8" t="str">
        <f>"10960010121"</f>
        <v>10960010121</v>
      </c>
      <c r="F24" s="7" t="str">
        <f t="shared" si="1"/>
        <v>01</v>
      </c>
      <c r="G24" s="7" t="str">
        <f>"21"</f>
        <v>21</v>
      </c>
      <c r="H24" s="7" t="s">
        <v>13</v>
      </c>
      <c r="I24" s="7" t="s">
        <v>14</v>
      </c>
      <c r="J24" s="9"/>
    </row>
    <row r="25" ht="14.25" spans="1:10">
      <c r="A25" s="7" t="s">
        <v>11</v>
      </c>
      <c r="B25" s="7" t="s">
        <v>35</v>
      </c>
      <c r="C25" s="7" t="str">
        <f t="shared" si="0"/>
        <v>女</v>
      </c>
      <c r="D25" s="7" t="str">
        <f>"411328199601111322"</f>
        <v>411328199601111322</v>
      </c>
      <c r="E25" s="8" t="str">
        <f>"10960010122"</f>
        <v>10960010122</v>
      </c>
      <c r="F25" s="7" t="str">
        <f t="shared" si="1"/>
        <v>01</v>
      </c>
      <c r="G25" s="7" t="str">
        <f>"22"</f>
        <v>22</v>
      </c>
      <c r="H25" s="7" t="s">
        <v>13</v>
      </c>
      <c r="I25" s="7">
        <v>69</v>
      </c>
      <c r="J25" s="9"/>
    </row>
    <row r="26" ht="14.25" spans="1:10">
      <c r="A26" s="7" t="s">
        <v>11</v>
      </c>
      <c r="B26" s="7" t="s">
        <v>36</v>
      </c>
      <c r="C26" s="7" t="str">
        <f t="shared" si="0"/>
        <v>女</v>
      </c>
      <c r="D26" s="7" t="str">
        <f>"411326199411034829"</f>
        <v>411326199411034829</v>
      </c>
      <c r="E26" s="8" t="str">
        <f>"10960010123"</f>
        <v>10960010123</v>
      </c>
      <c r="F26" s="7" t="str">
        <f t="shared" si="1"/>
        <v>01</v>
      </c>
      <c r="G26" s="7" t="str">
        <f>"23"</f>
        <v>23</v>
      </c>
      <c r="H26" s="7" t="s">
        <v>13</v>
      </c>
      <c r="I26" s="7" t="s">
        <v>14</v>
      </c>
      <c r="J26" s="9"/>
    </row>
    <row r="27" ht="14.25" spans="1:10">
      <c r="A27" s="7" t="s">
        <v>11</v>
      </c>
      <c r="B27" s="7" t="s">
        <v>37</v>
      </c>
      <c r="C27" s="7" t="str">
        <f t="shared" si="0"/>
        <v>男</v>
      </c>
      <c r="D27" s="7" t="str">
        <f>"411325199708176514"</f>
        <v>411325199708176514</v>
      </c>
      <c r="E27" s="8" t="str">
        <f>"10960010124"</f>
        <v>10960010124</v>
      </c>
      <c r="F27" s="7" t="str">
        <f t="shared" si="1"/>
        <v>01</v>
      </c>
      <c r="G27" s="7" t="str">
        <f>"24"</f>
        <v>24</v>
      </c>
      <c r="H27" s="7" t="s">
        <v>13</v>
      </c>
      <c r="I27" s="7" t="s">
        <v>14</v>
      </c>
      <c r="J27" s="9"/>
    </row>
    <row r="28" ht="14.25" spans="1:10">
      <c r="A28" s="7" t="s">
        <v>11</v>
      </c>
      <c r="B28" s="7" t="s">
        <v>38</v>
      </c>
      <c r="C28" s="7" t="str">
        <f t="shared" si="0"/>
        <v>女</v>
      </c>
      <c r="D28" s="7" t="str">
        <f>"411321199201100048"</f>
        <v>411321199201100048</v>
      </c>
      <c r="E28" s="8" t="str">
        <f>"10960010125"</f>
        <v>10960010125</v>
      </c>
      <c r="F28" s="7" t="str">
        <f t="shared" si="1"/>
        <v>01</v>
      </c>
      <c r="G28" s="7" t="str">
        <f>"25"</f>
        <v>25</v>
      </c>
      <c r="H28" s="7" t="s">
        <v>13</v>
      </c>
      <c r="I28" s="7" t="s">
        <v>14</v>
      </c>
      <c r="J28" s="9"/>
    </row>
    <row r="29" ht="14.25" spans="1:10">
      <c r="A29" s="7" t="s">
        <v>11</v>
      </c>
      <c r="B29" s="7" t="s">
        <v>39</v>
      </c>
      <c r="C29" s="7" t="str">
        <f t="shared" si="0"/>
        <v>女</v>
      </c>
      <c r="D29" s="7" t="str">
        <f>"411328199903022763"</f>
        <v>411328199903022763</v>
      </c>
      <c r="E29" s="8" t="str">
        <f>"10960010126"</f>
        <v>10960010126</v>
      </c>
      <c r="F29" s="7" t="str">
        <f t="shared" si="1"/>
        <v>01</v>
      </c>
      <c r="G29" s="7" t="str">
        <f>"26"</f>
        <v>26</v>
      </c>
      <c r="H29" s="7" t="s">
        <v>13</v>
      </c>
      <c r="I29" s="7" t="s">
        <v>14</v>
      </c>
      <c r="J29" s="9"/>
    </row>
    <row r="30" ht="14.25" spans="1:10">
      <c r="A30" s="7" t="s">
        <v>11</v>
      </c>
      <c r="B30" s="7" t="s">
        <v>40</v>
      </c>
      <c r="C30" s="7" t="str">
        <f t="shared" si="0"/>
        <v>女</v>
      </c>
      <c r="D30" s="7" t="str">
        <f>"411325199502079065"</f>
        <v>411325199502079065</v>
      </c>
      <c r="E30" s="8" t="str">
        <f>"10960010127"</f>
        <v>10960010127</v>
      </c>
      <c r="F30" s="7" t="str">
        <f t="shared" si="1"/>
        <v>01</v>
      </c>
      <c r="G30" s="7">
        <v>27</v>
      </c>
      <c r="H30" s="7" t="s">
        <v>13</v>
      </c>
      <c r="I30" s="7" t="s">
        <v>14</v>
      </c>
      <c r="J30" s="9"/>
    </row>
    <row r="31" ht="14.25" spans="1:10">
      <c r="A31" s="7" t="s">
        <v>11</v>
      </c>
      <c r="B31" s="7" t="s">
        <v>41</v>
      </c>
      <c r="C31" s="7" t="str">
        <f t="shared" si="0"/>
        <v>男</v>
      </c>
      <c r="D31" s="7" t="str">
        <f>"41132819940916001X"</f>
        <v>41132819940916001X</v>
      </c>
      <c r="E31" s="8" t="str">
        <f>"10960010128"</f>
        <v>10960010128</v>
      </c>
      <c r="F31" s="7" t="str">
        <f t="shared" si="1"/>
        <v>01</v>
      </c>
      <c r="G31" s="7" t="str">
        <f>"28"</f>
        <v>28</v>
      </c>
      <c r="H31" s="7" t="s">
        <v>13</v>
      </c>
      <c r="I31" s="7">
        <v>61</v>
      </c>
      <c r="J31" s="9"/>
    </row>
    <row r="32" ht="14.25" spans="1:10">
      <c r="A32" s="7" t="s">
        <v>11</v>
      </c>
      <c r="B32" s="7" t="s">
        <v>42</v>
      </c>
      <c r="C32" s="7" t="str">
        <f t="shared" si="0"/>
        <v>女</v>
      </c>
      <c r="D32" s="7" t="str">
        <f>"411303199511120025"</f>
        <v>411303199511120025</v>
      </c>
      <c r="E32" s="8" t="str">
        <f>"10960010129"</f>
        <v>10960010129</v>
      </c>
      <c r="F32" s="7" t="str">
        <f t="shared" si="1"/>
        <v>01</v>
      </c>
      <c r="G32" s="7" t="str">
        <f>"29"</f>
        <v>29</v>
      </c>
      <c r="H32" s="7" t="s">
        <v>13</v>
      </c>
      <c r="I32" s="7">
        <v>56.1</v>
      </c>
      <c r="J32" s="9"/>
    </row>
    <row r="33" ht="14.25" spans="1:10">
      <c r="A33" s="7" t="s">
        <v>11</v>
      </c>
      <c r="B33" s="7" t="s">
        <v>43</v>
      </c>
      <c r="C33" s="7" t="str">
        <f t="shared" si="0"/>
        <v>男</v>
      </c>
      <c r="D33" s="7" t="str">
        <f>"411325199411240431"</f>
        <v>411325199411240431</v>
      </c>
      <c r="E33" s="8" t="str">
        <f>"10960010130"</f>
        <v>10960010130</v>
      </c>
      <c r="F33" s="7" t="str">
        <f t="shared" si="1"/>
        <v>01</v>
      </c>
      <c r="G33" s="7" t="str">
        <f>"30"</f>
        <v>30</v>
      </c>
      <c r="H33" s="7" t="s">
        <v>13</v>
      </c>
      <c r="I33" s="7">
        <v>62.7</v>
      </c>
      <c r="J33" s="9"/>
    </row>
    <row r="34" ht="14.25" spans="1:10">
      <c r="A34" s="7" t="s">
        <v>11</v>
      </c>
      <c r="B34" s="7" t="s">
        <v>44</v>
      </c>
      <c r="C34" s="7" t="str">
        <f t="shared" si="0"/>
        <v>女</v>
      </c>
      <c r="D34" s="7" t="str">
        <f>"411325199703182325"</f>
        <v>411325199703182325</v>
      </c>
      <c r="E34" s="8" t="str">
        <f>"10960010201"</f>
        <v>10960010201</v>
      </c>
      <c r="F34" s="7" t="str">
        <f t="shared" ref="F34:F63" si="2">"02"</f>
        <v>02</v>
      </c>
      <c r="G34" s="7" t="str">
        <f>"01"</f>
        <v>01</v>
      </c>
      <c r="H34" s="7" t="s">
        <v>45</v>
      </c>
      <c r="I34" s="7">
        <v>64.7</v>
      </c>
      <c r="J34" s="9"/>
    </row>
    <row r="35" ht="14.25" spans="1:10">
      <c r="A35" s="7" t="s">
        <v>11</v>
      </c>
      <c r="B35" s="7" t="s">
        <v>46</v>
      </c>
      <c r="C35" s="7" t="str">
        <f t="shared" si="0"/>
        <v>男</v>
      </c>
      <c r="D35" s="7" t="str">
        <f>"411321199802220934"</f>
        <v>411321199802220934</v>
      </c>
      <c r="E35" s="8" t="str">
        <f>"10960010202"</f>
        <v>10960010202</v>
      </c>
      <c r="F35" s="7" t="str">
        <f t="shared" si="2"/>
        <v>02</v>
      </c>
      <c r="G35" s="7" t="str">
        <f>"02"</f>
        <v>02</v>
      </c>
      <c r="H35" s="7" t="s">
        <v>45</v>
      </c>
      <c r="I35" s="7" t="s">
        <v>14</v>
      </c>
      <c r="J35" s="9"/>
    </row>
    <row r="36" ht="14.25" spans="1:10">
      <c r="A36" s="7" t="s">
        <v>11</v>
      </c>
      <c r="B36" s="7" t="s">
        <v>47</v>
      </c>
      <c r="C36" s="7" t="str">
        <f t="shared" si="0"/>
        <v>男</v>
      </c>
      <c r="D36" s="7" t="str">
        <f>"410423199506268033"</f>
        <v>410423199506268033</v>
      </c>
      <c r="E36" s="8" t="str">
        <f>"10960010203"</f>
        <v>10960010203</v>
      </c>
      <c r="F36" s="7" t="str">
        <f t="shared" si="2"/>
        <v>02</v>
      </c>
      <c r="G36" s="7" t="str">
        <f>"03"</f>
        <v>03</v>
      </c>
      <c r="H36" s="7" t="s">
        <v>45</v>
      </c>
      <c r="I36" s="7">
        <v>68</v>
      </c>
      <c r="J36" s="9"/>
    </row>
    <row r="37" ht="14.25" spans="1:10">
      <c r="A37" s="7" t="s">
        <v>11</v>
      </c>
      <c r="B37" s="7" t="s">
        <v>48</v>
      </c>
      <c r="C37" s="7" t="str">
        <f t="shared" si="0"/>
        <v>男</v>
      </c>
      <c r="D37" s="7" t="str">
        <f>"411302199701031318"</f>
        <v>411302199701031318</v>
      </c>
      <c r="E37" s="8" t="str">
        <f>"10960010204"</f>
        <v>10960010204</v>
      </c>
      <c r="F37" s="7" t="str">
        <f t="shared" si="2"/>
        <v>02</v>
      </c>
      <c r="G37" s="7" t="str">
        <f>"04"</f>
        <v>04</v>
      </c>
      <c r="H37" s="7" t="s">
        <v>45</v>
      </c>
      <c r="I37" s="7" t="s">
        <v>14</v>
      </c>
      <c r="J37" s="9"/>
    </row>
    <row r="38" ht="14.25" spans="1:10">
      <c r="A38" s="7" t="s">
        <v>11</v>
      </c>
      <c r="B38" s="7" t="s">
        <v>49</v>
      </c>
      <c r="C38" s="7" t="str">
        <f t="shared" si="0"/>
        <v>男</v>
      </c>
      <c r="D38" s="7" t="str">
        <f>"41042219940309381X"</f>
        <v>41042219940309381X</v>
      </c>
      <c r="E38" s="8" t="str">
        <f>"10960010205"</f>
        <v>10960010205</v>
      </c>
      <c r="F38" s="7" t="str">
        <f t="shared" si="2"/>
        <v>02</v>
      </c>
      <c r="G38" s="7" t="str">
        <f>"05"</f>
        <v>05</v>
      </c>
      <c r="H38" s="7" t="s">
        <v>45</v>
      </c>
      <c r="I38" s="7">
        <v>65.8</v>
      </c>
      <c r="J38" s="9"/>
    </row>
    <row r="39" ht="14.25" spans="1:10">
      <c r="A39" s="7" t="s">
        <v>11</v>
      </c>
      <c r="B39" s="7" t="s">
        <v>50</v>
      </c>
      <c r="C39" s="7" t="str">
        <f t="shared" si="0"/>
        <v>女</v>
      </c>
      <c r="D39" s="7" t="str">
        <f>"130726199410200526"</f>
        <v>130726199410200526</v>
      </c>
      <c r="E39" s="8" t="str">
        <f>"10960010206"</f>
        <v>10960010206</v>
      </c>
      <c r="F39" s="7" t="str">
        <f t="shared" si="2"/>
        <v>02</v>
      </c>
      <c r="G39" s="7" t="str">
        <f>"06"</f>
        <v>06</v>
      </c>
      <c r="H39" s="7" t="s">
        <v>45</v>
      </c>
      <c r="I39" s="7">
        <v>55</v>
      </c>
      <c r="J39" s="9"/>
    </row>
    <row r="40" ht="14.25" spans="1:10">
      <c r="A40" s="7" t="s">
        <v>11</v>
      </c>
      <c r="B40" s="7" t="s">
        <v>51</v>
      </c>
      <c r="C40" s="7" t="str">
        <f t="shared" si="0"/>
        <v>男</v>
      </c>
      <c r="D40" s="7" t="str">
        <f>"411321199611080019"</f>
        <v>411321199611080019</v>
      </c>
      <c r="E40" s="8" t="str">
        <f>"10960010207"</f>
        <v>10960010207</v>
      </c>
      <c r="F40" s="7" t="str">
        <f t="shared" si="2"/>
        <v>02</v>
      </c>
      <c r="G40" s="7" t="str">
        <f>"07"</f>
        <v>07</v>
      </c>
      <c r="H40" s="7" t="s">
        <v>45</v>
      </c>
      <c r="I40" s="7">
        <v>63.4</v>
      </c>
      <c r="J40" s="9"/>
    </row>
    <row r="41" ht="14.25" spans="1:10">
      <c r="A41" s="7" t="s">
        <v>11</v>
      </c>
      <c r="B41" s="7" t="s">
        <v>52</v>
      </c>
      <c r="C41" s="7" t="str">
        <f t="shared" si="0"/>
        <v>男</v>
      </c>
      <c r="D41" s="7" t="str">
        <f>"411328199408200016"</f>
        <v>411328199408200016</v>
      </c>
      <c r="E41" s="8" t="str">
        <f>"10960010208"</f>
        <v>10960010208</v>
      </c>
      <c r="F41" s="7" t="str">
        <f t="shared" si="2"/>
        <v>02</v>
      </c>
      <c r="G41" s="7" t="str">
        <f>"08"</f>
        <v>08</v>
      </c>
      <c r="H41" s="7" t="s">
        <v>45</v>
      </c>
      <c r="I41" s="7" t="s">
        <v>14</v>
      </c>
      <c r="J41" s="9"/>
    </row>
    <row r="42" ht="14.25" spans="1:10">
      <c r="A42" s="7" t="s">
        <v>11</v>
      </c>
      <c r="B42" s="7" t="s">
        <v>53</v>
      </c>
      <c r="C42" s="7" t="str">
        <f t="shared" si="0"/>
        <v>女</v>
      </c>
      <c r="D42" s="7" t="str">
        <f>"410102199608040103"</f>
        <v>410102199608040103</v>
      </c>
      <c r="E42" s="8" t="str">
        <f>"10960010209"</f>
        <v>10960010209</v>
      </c>
      <c r="F42" s="7" t="str">
        <f t="shared" si="2"/>
        <v>02</v>
      </c>
      <c r="G42" s="7" t="str">
        <f>"09"</f>
        <v>09</v>
      </c>
      <c r="H42" s="7" t="s">
        <v>45</v>
      </c>
      <c r="I42" s="7" t="s">
        <v>14</v>
      </c>
      <c r="J42" s="9"/>
    </row>
    <row r="43" ht="14.25" spans="1:10">
      <c r="A43" s="7" t="s">
        <v>11</v>
      </c>
      <c r="B43" s="7" t="s">
        <v>54</v>
      </c>
      <c r="C43" s="7" t="str">
        <f t="shared" si="0"/>
        <v>女</v>
      </c>
      <c r="D43" s="7" t="str">
        <f>"372923199512300825"</f>
        <v>372923199512300825</v>
      </c>
      <c r="E43" s="8" t="str">
        <f>"10960010210"</f>
        <v>10960010210</v>
      </c>
      <c r="F43" s="7" t="str">
        <f t="shared" si="2"/>
        <v>02</v>
      </c>
      <c r="G43" s="7" t="str">
        <f>"10"</f>
        <v>10</v>
      </c>
      <c r="H43" s="7" t="s">
        <v>45</v>
      </c>
      <c r="I43" s="7" t="s">
        <v>14</v>
      </c>
      <c r="J43" s="9"/>
    </row>
    <row r="44" ht="14.25" spans="1:10">
      <c r="A44" s="7" t="s">
        <v>11</v>
      </c>
      <c r="B44" s="7" t="s">
        <v>55</v>
      </c>
      <c r="C44" s="7" t="str">
        <f t="shared" si="0"/>
        <v>男</v>
      </c>
      <c r="D44" s="7" t="str">
        <f>"411325199805270713"</f>
        <v>411325199805270713</v>
      </c>
      <c r="E44" s="8" t="str">
        <f>"10960010211"</f>
        <v>10960010211</v>
      </c>
      <c r="F44" s="7" t="str">
        <f t="shared" si="2"/>
        <v>02</v>
      </c>
      <c r="G44" s="7" t="str">
        <f>"11"</f>
        <v>11</v>
      </c>
      <c r="H44" s="7" t="s">
        <v>45</v>
      </c>
      <c r="I44" s="7">
        <v>74.9</v>
      </c>
      <c r="J44" s="9"/>
    </row>
    <row r="45" ht="14.25" spans="1:10">
      <c r="A45" s="7" t="s">
        <v>11</v>
      </c>
      <c r="B45" s="7" t="s">
        <v>56</v>
      </c>
      <c r="C45" s="7" t="str">
        <f t="shared" si="0"/>
        <v>女</v>
      </c>
      <c r="D45" s="7" t="str">
        <f>"412827199505100027"</f>
        <v>412827199505100027</v>
      </c>
      <c r="E45" s="8" t="str">
        <f>"10960010212"</f>
        <v>10960010212</v>
      </c>
      <c r="F45" s="7" t="str">
        <f t="shared" si="2"/>
        <v>02</v>
      </c>
      <c r="G45" s="7" t="str">
        <f>"12"</f>
        <v>12</v>
      </c>
      <c r="H45" s="7" t="s">
        <v>45</v>
      </c>
      <c r="I45" s="7">
        <v>68.8</v>
      </c>
      <c r="J45" s="9"/>
    </row>
    <row r="46" ht="14.25" spans="1:10">
      <c r="A46" s="7" t="s">
        <v>11</v>
      </c>
      <c r="B46" s="7" t="s">
        <v>57</v>
      </c>
      <c r="C46" s="7" t="str">
        <f t="shared" si="0"/>
        <v>男</v>
      </c>
      <c r="D46" s="7" t="str">
        <f>"411323199305103430"</f>
        <v>411323199305103430</v>
      </c>
      <c r="E46" s="8" t="str">
        <f>"10960010213"</f>
        <v>10960010213</v>
      </c>
      <c r="F46" s="7" t="str">
        <f t="shared" si="2"/>
        <v>02</v>
      </c>
      <c r="G46" s="7" t="str">
        <f>"13"</f>
        <v>13</v>
      </c>
      <c r="H46" s="7" t="s">
        <v>45</v>
      </c>
      <c r="I46" s="7" t="s">
        <v>14</v>
      </c>
      <c r="J46" s="9"/>
    </row>
    <row r="47" ht="14.25" spans="1:10">
      <c r="A47" s="7" t="s">
        <v>11</v>
      </c>
      <c r="B47" s="7" t="s">
        <v>58</v>
      </c>
      <c r="C47" s="7" t="str">
        <f t="shared" si="0"/>
        <v>男</v>
      </c>
      <c r="D47" s="7" t="str">
        <f>"410185199306272516"</f>
        <v>410185199306272516</v>
      </c>
      <c r="E47" s="8" t="str">
        <f>"10960010214"</f>
        <v>10960010214</v>
      </c>
      <c r="F47" s="7" t="str">
        <f t="shared" si="2"/>
        <v>02</v>
      </c>
      <c r="G47" s="7" t="str">
        <f>"14"</f>
        <v>14</v>
      </c>
      <c r="H47" s="7" t="s">
        <v>45</v>
      </c>
      <c r="I47" s="7">
        <v>68.8</v>
      </c>
      <c r="J47" s="9"/>
    </row>
    <row r="48" ht="14.25" spans="1:10">
      <c r="A48" s="7" t="s">
        <v>59</v>
      </c>
      <c r="B48" s="7" t="s">
        <v>60</v>
      </c>
      <c r="C48" s="7" t="str">
        <f t="shared" si="0"/>
        <v>男</v>
      </c>
      <c r="D48" s="7" t="str">
        <f>"411325199211282338"</f>
        <v>411325199211282338</v>
      </c>
      <c r="E48" s="8" t="str">
        <f>"10960020215"</f>
        <v>10960020215</v>
      </c>
      <c r="F48" s="7" t="str">
        <f t="shared" si="2"/>
        <v>02</v>
      </c>
      <c r="G48" s="7" t="str">
        <f>"15"</f>
        <v>15</v>
      </c>
      <c r="H48" s="7" t="s">
        <v>13</v>
      </c>
      <c r="I48" s="7" t="s">
        <v>14</v>
      </c>
      <c r="J48" s="9"/>
    </row>
    <row r="49" ht="14.25" spans="1:10">
      <c r="A49" s="7" t="s">
        <v>59</v>
      </c>
      <c r="B49" s="7" t="s">
        <v>61</v>
      </c>
      <c r="C49" s="7" t="str">
        <f t="shared" si="0"/>
        <v>女</v>
      </c>
      <c r="D49" s="7" t="str">
        <f>"411325199709017849"</f>
        <v>411325199709017849</v>
      </c>
      <c r="E49" s="8" t="str">
        <f>"10960020216"</f>
        <v>10960020216</v>
      </c>
      <c r="F49" s="7" t="str">
        <f t="shared" si="2"/>
        <v>02</v>
      </c>
      <c r="G49" s="7" t="str">
        <f>"16"</f>
        <v>16</v>
      </c>
      <c r="H49" s="7" t="s">
        <v>13</v>
      </c>
      <c r="I49" s="7">
        <v>60</v>
      </c>
      <c r="J49" s="9"/>
    </row>
    <row r="50" ht="14.25" spans="1:10">
      <c r="A50" s="7" t="s">
        <v>59</v>
      </c>
      <c r="B50" s="7" t="s">
        <v>62</v>
      </c>
      <c r="C50" s="7" t="str">
        <f t="shared" si="0"/>
        <v>男</v>
      </c>
      <c r="D50" s="7" t="str">
        <f>"411325199811150419"</f>
        <v>411325199811150419</v>
      </c>
      <c r="E50" s="8" t="str">
        <f>"10960020217"</f>
        <v>10960020217</v>
      </c>
      <c r="F50" s="7" t="str">
        <f t="shared" si="2"/>
        <v>02</v>
      </c>
      <c r="G50" s="7" t="str">
        <f>"17"</f>
        <v>17</v>
      </c>
      <c r="H50" s="7" t="s">
        <v>13</v>
      </c>
      <c r="I50" s="7">
        <v>67.6</v>
      </c>
      <c r="J50" s="9"/>
    </row>
    <row r="51" ht="14.25" spans="1:10">
      <c r="A51" s="7" t="s">
        <v>59</v>
      </c>
      <c r="B51" s="7" t="s">
        <v>63</v>
      </c>
      <c r="C51" s="7" t="str">
        <f t="shared" si="0"/>
        <v>男</v>
      </c>
      <c r="D51" s="7" t="str">
        <f>"41130319970727101X"</f>
        <v>41130319970727101X</v>
      </c>
      <c r="E51" s="8" t="str">
        <f>"10960020218"</f>
        <v>10960020218</v>
      </c>
      <c r="F51" s="7" t="str">
        <f t="shared" si="2"/>
        <v>02</v>
      </c>
      <c r="G51" s="7" t="str">
        <f>"18"</f>
        <v>18</v>
      </c>
      <c r="H51" s="7" t="s">
        <v>13</v>
      </c>
      <c r="I51" s="7">
        <v>60.2</v>
      </c>
      <c r="J51" s="9"/>
    </row>
    <row r="52" ht="14.25" spans="1:10">
      <c r="A52" s="7" t="s">
        <v>59</v>
      </c>
      <c r="B52" s="7" t="s">
        <v>64</v>
      </c>
      <c r="C52" s="7" t="str">
        <f t="shared" si="0"/>
        <v>男</v>
      </c>
      <c r="D52" s="7" t="str">
        <f>"41132519980319071X"</f>
        <v>41132519980319071X</v>
      </c>
      <c r="E52" s="8" t="str">
        <f>"10960020219"</f>
        <v>10960020219</v>
      </c>
      <c r="F52" s="7" t="str">
        <f t="shared" si="2"/>
        <v>02</v>
      </c>
      <c r="G52" s="7" t="str">
        <f>"19"</f>
        <v>19</v>
      </c>
      <c r="H52" s="7" t="s">
        <v>13</v>
      </c>
      <c r="I52" s="7">
        <v>64.5</v>
      </c>
      <c r="J52" s="9"/>
    </row>
    <row r="53" ht="14.25" spans="1:10">
      <c r="A53" s="7" t="s">
        <v>59</v>
      </c>
      <c r="B53" s="7" t="s">
        <v>65</v>
      </c>
      <c r="C53" s="7" t="str">
        <f t="shared" si="0"/>
        <v>男</v>
      </c>
      <c r="D53" s="7" t="str">
        <f>"411325199610170712"</f>
        <v>411325199610170712</v>
      </c>
      <c r="E53" s="8" t="str">
        <f>"10960020220"</f>
        <v>10960020220</v>
      </c>
      <c r="F53" s="7" t="str">
        <f t="shared" si="2"/>
        <v>02</v>
      </c>
      <c r="G53" s="7" t="str">
        <f>"20"</f>
        <v>20</v>
      </c>
      <c r="H53" s="7" t="s">
        <v>13</v>
      </c>
      <c r="I53" s="7">
        <v>66.9</v>
      </c>
      <c r="J53" s="9"/>
    </row>
    <row r="54" ht="14.25" spans="1:10">
      <c r="A54" s="7" t="s">
        <v>59</v>
      </c>
      <c r="B54" s="7" t="s">
        <v>66</v>
      </c>
      <c r="C54" s="7" t="str">
        <f t="shared" si="0"/>
        <v>男</v>
      </c>
      <c r="D54" s="7" t="str">
        <f>"411328199808267412"</f>
        <v>411328199808267412</v>
      </c>
      <c r="E54" s="8" t="str">
        <f>"10960020221"</f>
        <v>10960020221</v>
      </c>
      <c r="F54" s="7" t="str">
        <f t="shared" si="2"/>
        <v>02</v>
      </c>
      <c r="G54" s="7" t="str">
        <f>"21"</f>
        <v>21</v>
      </c>
      <c r="H54" s="7" t="s">
        <v>13</v>
      </c>
      <c r="I54" s="7" t="s">
        <v>14</v>
      </c>
      <c r="J54" s="9"/>
    </row>
    <row r="55" ht="14.25" spans="1:10">
      <c r="A55" s="7" t="s">
        <v>59</v>
      </c>
      <c r="B55" s="7" t="s">
        <v>67</v>
      </c>
      <c r="C55" s="7" t="str">
        <f t="shared" si="0"/>
        <v>男</v>
      </c>
      <c r="D55" s="7" t="str">
        <f>"411325199704017436"</f>
        <v>411325199704017436</v>
      </c>
      <c r="E55" s="8" t="str">
        <f>"10960020222"</f>
        <v>10960020222</v>
      </c>
      <c r="F55" s="7" t="str">
        <f t="shared" si="2"/>
        <v>02</v>
      </c>
      <c r="G55" s="7" t="str">
        <f>"22"</f>
        <v>22</v>
      </c>
      <c r="H55" s="7" t="s">
        <v>13</v>
      </c>
      <c r="I55" s="7">
        <v>53</v>
      </c>
      <c r="J55" s="9"/>
    </row>
    <row r="56" ht="14.25" spans="1:10">
      <c r="A56" s="7" t="s">
        <v>59</v>
      </c>
      <c r="B56" s="7" t="s">
        <v>68</v>
      </c>
      <c r="C56" s="7" t="str">
        <f t="shared" si="0"/>
        <v>男</v>
      </c>
      <c r="D56" s="7" t="str">
        <f>"411325199603262918"</f>
        <v>411325199603262918</v>
      </c>
      <c r="E56" s="8" t="str">
        <f>"10960020223"</f>
        <v>10960020223</v>
      </c>
      <c r="F56" s="7" t="str">
        <f t="shared" si="2"/>
        <v>02</v>
      </c>
      <c r="G56" s="7" t="str">
        <f>"23"</f>
        <v>23</v>
      </c>
      <c r="H56" s="7" t="s">
        <v>13</v>
      </c>
      <c r="I56" s="7">
        <v>47.3</v>
      </c>
      <c r="J56" s="9"/>
    </row>
    <row r="57" ht="14.25" spans="1:10">
      <c r="A57" s="7" t="s">
        <v>59</v>
      </c>
      <c r="B57" s="7" t="s">
        <v>69</v>
      </c>
      <c r="C57" s="7" t="str">
        <f t="shared" si="0"/>
        <v>男</v>
      </c>
      <c r="D57" s="7" t="str">
        <f>"41132319960618051X"</f>
        <v>41132319960618051X</v>
      </c>
      <c r="E57" s="8" t="str">
        <f>"10960020224"</f>
        <v>10960020224</v>
      </c>
      <c r="F57" s="7" t="str">
        <f t="shared" si="2"/>
        <v>02</v>
      </c>
      <c r="G57" s="7" t="str">
        <f>"24"</f>
        <v>24</v>
      </c>
      <c r="H57" s="7" t="s">
        <v>13</v>
      </c>
      <c r="I57" s="7" t="s">
        <v>14</v>
      </c>
      <c r="J57" s="9"/>
    </row>
    <row r="58" ht="14.25" spans="1:10">
      <c r="A58" s="7" t="s">
        <v>59</v>
      </c>
      <c r="B58" s="7" t="s">
        <v>70</v>
      </c>
      <c r="C58" s="7" t="str">
        <f t="shared" si="0"/>
        <v>男</v>
      </c>
      <c r="D58" s="7" t="str">
        <f>"411328199507061912"</f>
        <v>411328199507061912</v>
      </c>
      <c r="E58" s="8" t="str">
        <f>"10960020225"</f>
        <v>10960020225</v>
      </c>
      <c r="F58" s="7" t="str">
        <f t="shared" si="2"/>
        <v>02</v>
      </c>
      <c r="G58" s="7" t="str">
        <f>"25"</f>
        <v>25</v>
      </c>
      <c r="H58" s="7" t="s">
        <v>13</v>
      </c>
      <c r="I58" s="7">
        <v>60.1</v>
      </c>
      <c r="J58" s="9"/>
    </row>
    <row r="59" ht="14.25" spans="1:10">
      <c r="A59" s="7" t="s">
        <v>59</v>
      </c>
      <c r="B59" s="7" t="s">
        <v>71</v>
      </c>
      <c r="C59" s="7" t="str">
        <f t="shared" si="0"/>
        <v>男</v>
      </c>
      <c r="D59" s="7" t="str">
        <f>"411325199105066615"</f>
        <v>411325199105066615</v>
      </c>
      <c r="E59" s="8" t="str">
        <f>"10960020226"</f>
        <v>10960020226</v>
      </c>
      <c r="F59" s="7" t="str">
        <f t="shared" si="2"/>
        <v>02</v>
      </c>
      <c r="G59" s="7" t="str">
        <f>"26"</f>
        <v>26</v>
      </c>
      <c r="H59" s="7" t="s">
        <v>13</v>
      </c>
      <c r="I59" s="7" t="s">
        <v>14</v>
      </c>
      <c r="J59" s="9"/>
    </row>
    <row r="60" ht="14.25" spans="1:10">
      <c r="A60" s="7" t="s">
        <v>59</v>
      </c>
      <c r="B60" s="7" t="s">
        <v>72</v>
      </c>
      <c r="C60" s="7" t="str">
        <f t="shared" si="0"/>
        <v>男</v>
      </c>
      <c r="D60" s="7" t="str">
        <f>"41132519910929907X"</f>
        <v>41132519910929907X</v>
      </c>
      <c r="E60" s="8" t="str">
        <f>"10960020227"</f>
        <v>10960020227</v>
      </c>
      <c r="F60" s="7" t="str">
        <f t="shared" si="2"/>
        <v>02</v>
      </c>
      <c r="G60" s="7" t="str">
        <f>"27"</f>
        <v>27</v>
      </c>
      <c r="H60" s="7" t="s">
        <v>13</v>
      </c>
      <c r="I60" s="7" t="s">
        <v>14</v>
      </c>
      <c r="J60" s="9"/>
    </row>
    <row r="61" ht="14.25" spans="1:10">
      <c r="A61" s="7" t="s">
        <v>59</v>
      </c>
      <c r="B61" s="7" t="s">
        <v>73</v>
      </c>
      <c r="C61" s="7" t="str">
        <f t="shared" si="0"/>
        <v>女</v>
      </c>
      <c r="D61" s="7" t="str">
        <f>"411302199902233426"</f>
        <v>411302199902233426</v>
      </c>
      <c r="E61" s="8" t="str">
        <f>"10960020228"</f>
        <v>10960020228</v>
      </c>
      <c r="F61" s="7" t="str">
        <f t="shared" si="2"/>
        <v>02</v>
      </c>
      <c r="G61" s="7" t="str">
        <f>"28"</f>
        <v>28</v>
      </c>
      <c r="H61" s="7" t="s">
        <v>13</v>
      </c>
      <c r="I61" s="7" t="s">
        <v>14</v>
      </c>
      <c r="J61" s="9"/>
    </row>
    <row r="62" ht="14.25" spans="1:10">
      <c r="A62" s="7" t="s">
        <v>59</v>
      </c>
      <c r="B62" s="7" t="s">
        <v>74</v>
      </c>
      <c r="C62" s="7" t="str">
        <f t="shared" si="0"/>
        <v>男</v>
      </c>
      <c r="D62" s="7" t="str">
        <f>"411325199105293551"</f>
        <v>411325199105293551</v>
      </c>
      <c r="E62" s="8" t="str">
        <f>"10960020229"</f>
        <v>10960020229</v>
      </c>
      <c r="F62" s="7" t="str">
        <f t="shared" si="2"/>
        <v>02</v>
      </c>
      <c r="G62" s="7" t="str">
        <f>"29"</f>
        <v>29</v>
      </c>
      <c r="H62" s="7" t="s">
        <v>13</v>
      </c>
      <c r="I62" s="7">
        <v>50.6</v>
      </c>
      <c r="J62" s="9"/>
    </row>
    <row r="63" ht="14.25" spans="1:10">
      <c r="A63" s="7" t="s">
        <v>59</v>
      </c>
      <c r="B63" s="7" t="s">
        <v>75</v>
      </c>
      <c r="C63" s="7" t="str">
        <f t="shared" si="0"/>
        <v>女</v>
      </c>
      <c r="D63" s="7" t="str">
        <f>"411325199705080023"</f>
        <v>411325199705080023</v>
      </c>
      <c r="E63" s="8" t="str">
        <f>"10960020230"</f>
        <v>10960020230</v>
      </c>
      <c r="F63" s="7" t="str">
        <f t="shared" si="2"/>
        <v>02</v>
      </c>
      <c r="G63" s="7" t="str">
        <f>"30"</f>
        <v>30</v>
      </c>
      <c r="H63" s="7" t="s">
        <v>13</v>
      </c>
      <c r="I63" s="7" t="s">
        <v>14</v>
      </c>
      <c r="J63" s="9"/>
    </row>
    <row r="64" ht="14.25" spans="1:10">
      <c r="A64" s="7" t="s">
        <v>59</v>
      </c>
      <c r="B64" s="7" t="s">
        <v>76</v>
      </c>
      <c r="C64" s="7" t="str">
        <f t="shared" si="0"/>
        <v>男</v>
      </c>
      <c r="D64" s="7" t="str">
        <f>"411303199710150518"</f>
        <v>411303199710150518</v>
      </c>
      <c r="E64" s="8" t="str">
        <f>"10960020301"</f>
        <v>10960020301</v>
      </c>
      <c r="F64" s="7" t="str">
        <f t="shared" ref="F64:F93" si="3">"03"</f>
        <v>03</v>
      </c>
      <c r="G64" s="7" t="str">
        <f>"01"</f>
        <v>01</v>
      </c>
      <c r="H64" s="7" t="s">
        <v>13</v>
      </c>
      <c r="I64" s="7" t="s">
        <v>14</v>
      </c>
      <c r="J64" s="9"/>
    </row>
    <row r="65" ht="14.25" spans="1:10">
      <c r="A65" s="7" t="s">
        <v>59</v>
      </c>
      <c r="B65" s="7" t="s">
        <v>77</v>
      </c>
      <c r="C65" s="7" t="str">
        <f t="shared" si="0"/>
        <v>男</v>
      </c>
      <c r="D65" s="7" t="str">
        <f>"412822199303084477"</f>
        <v>412822199303084477</v>
      </c>
      <c r="E65" s="8" t="str">
        <f>"10960020302"</f>
        <v>10960020302</v>
      </c>
      <c r="F65" s="7" t="str">
        <f t="shared" si="3"/>
        <v>03</v>
      </c>
      <c r="G65" s="7" t="str">
        <f>"02"</f>
        <v>02</v>
      </c>
      <c r="H65" s="7" t="s">
        <v>13</v>
      </c>
      <c r="I65" s="7">
        <v>61</v>
      </c>
      <c r="J65" s="9"/>
    </row>
    <row r="66" ht="14.25" spans="1:10">
      <c r="A66" s="7" t="s">
        <v>59</v>
      </c>
      <c r="B66" s="7" t="s">
        <v>78</v>
      </c>
      <c r="C66" s="7" t="str">
        <f t="shared" si="0"/>
        <v>女</v>
      </c>
      <c r="D66" s="7" t="str">
        <f>"411302199712071825"</f>
        <v>411302199712071825</v>
      </c>
      <c r="E66" s="8" t="str">
        <f>"10960020303"</f>
        <v>10960020303</v>
      </c>
      <c r="F66" s="7" t="str">
        <f t="shared" si="3"/>
        <v>03</v>
      </c>
      <c r="G66" s="7" t="str">
        <f>"03"</f>
        <v>03</v>
      </c>
      <c r="H66" s="7" t="s">
        <v>13</v>
      </c>
      <c r="I66" s="7" t="s">
        <v>14</v>
      </c>
      <c r="J66" s="9"/>
    </row>
    <row r="67" ht="14.25" spans="1:10">
      <c r="A67" s="7" t="s">
        <v>59</v>
      </c>
      <c r="B67" s="7" t="s">
        <v>79</v>
      </c>
      <c r="C67" s="7" t="str">
        <f t="shared" si="0"/>
        <v>男</v>
      </c>
      <c r="D67" s="7" t="str">
        <f>"41132819921023355X"</f>
        <v>41132819921023355X</v>
      </c>
      <c r="E67" s="8" t="str">
        <f>"10960020304"</f>
        <v>10960020304</v>
      </c>
      <c r="F67" s="7" t="str">
        <f t="shared" si="3"/>
        <v>03</v>
      </c>
      <c r="G67" s="7" t="str">
        <f>"04"</f>
        <v>04</v>
      </c>
      <c r="H67" s="7" t="s">
        <v>13</v>
      </c>
      <c r="I67" s="7">
        <v>42.3</v>
      </c>
      <c r="J67" s="9"/>
    </row>
    <row r="68" ht="14.25" spans="1:10">
      <c r="A68" s="7" t="s">
        <v>59</v>
      </c>
      <c r="B68" s="7" t="s">
        <v>80</v>
      </c>
      <c r="C68" s="7" t="str">
        <f t="shared" ref="C68:C131" si="4">IF(MOD(MID(D68,17,1),2),"男","女")</f>
        <v>男</v>
      </c>
      <c r="D68" s="7" t="str">
        <f>"411325199605150418"</f>
        <v>411325199605150418</v>
      </c>
      <c r="E68" s="8" t="str">
        <f>"10960020305"</f>
        <v>10960020305</v>
      </c>
      <c r="F68" s="7" t="str">
        <f t="shared" si="3"/>
        <v>03</v>
      </c>
      <c r="G68" s="7" t="str">
        <f>"05"</f>
        <v>05</v>
      </c>
      <c r="H68" s="7" t="s">
        <v>13</v>
      </c>
      <c r="I68" s="7">
        <v>64</v>
      </c>
      <c r="J68" s="9"/>
    </row>
    <row r="69" ht="14.25" spans="1:10">
      <c r="A69" s="7" t="s">
        <v>59</v>
      </c>
      <c r="B69" s="7" t="s">
        <v>81</v>
      </c>
      <c r="C69" s="7" t="str">
        <f t="shared" si="4"/>
        <v>女</v>
      </c>
      <c r="D69" s="7" t="str">
        <f>"411325199801231928"</f>
        <v>411325199801231928</v>
      </c>
      <c r="E69" s="8" t="str">
        <f>"10960020306"</f>
        <v>10960020306</v>
      </c>
      <c r="F69" s="7" t="str">
        <f t="shared" si="3"/>
        <v>03</v>
      </c>
      <c r="G69" s="7" t="str">
        <f>"06"</f>
        <v>06</v>
      </c>
      <c r="H69" s="7" t="s">
        <v>13</v>
      </c>
      <c r="I69" s="7">
        <v>57.7</v>
      </c>
      <c r="J69" s="9"/>
    </row>
    <row r="70" ht="14.25" spans="1:10">
      <c r="A70" s="7" t="s">
        <v>59</v>
      </c>
      <c r="B70" s="7" t="s">
        <v>82</v>
      </c>
      <c r="C70" s="7" t="str">
        <f t="shared" si="4"/>
        <v>女</v>
      </c>
      <c r="D70" s="7" t="str">
        <f>"411325199803117029"</f>
        <v>411325199803117029</v>
      </c>
      <c r="E70" s="8" t="str">
        <f>"10960020307"</f>
        <v>10960020307</v>
      </c>
      <c r="F70" s="7" t="str">
        <f t="shared" si="3"/>
        <v>03</v>
      </c>
      <c r="G70" s="7" t="str">
        <f>"07"</f>
        <v>07</v>
      </c>
      <c r="H70" s="7" t="s">
        <v>13</v>
      </c>
      <c r="I70" s="7" t="s">
        <v>14</v>
      </c>
      <c r="J70" s="9"/>
    </row>
    <row r="71" ht="14.25" spans="1:10">
      <c r="A71" s="7" t="s">
        <v>59</v>
      </c>
      <c r="B71" s="7" t="s">
        <v>83</v>
      </c>
      <c r="C71" s="7" t="str">
        <f t="shared" si="4"/>
        <v>女</v>
      </c>
      <c r="D71" s="7" t="str">
        <f>"411325199502012346"</f>
        <v>411325199502012346</v>
      </c>
      <c r="E71" s="8" t="str">
        <f>"10960020308"</f>
        <v>10960020308</v>
      </c>
      <c r="F71" s="7" t="str">
        <f t="shared" si="3"/>
        <v>03</v>
      </c>
      <c r="G71" s="7" t="str">
        <f>"08"</f>
        <v>08</v>
      </c>
      <c r="H71" s="7" t="s">
        <v>13</v>
      </c>
      <c r="I71" s="7" t="s">
        <v>14</v>
      </c>
      <c r="J71" s="9"/>
    </row>
    <row r="72" ht="14.25" spans="1:10">
      <c r="A72" s="7" t="s">
        <v>59</v>
      </c>
      <c r="B72" s="7" t="s">
        <v>84</v>
      </c>
      <c r="C72" s="7" t="str">
        <f t="shared" si="4"/>
        <v>女</v>
      </c>
      <c r="D72" s="7" t="str">
        <f>"411381199806152023"</f>
        <v>411381199806152023</v>
      </c>
      <c r="E72" s="8" t="str">
        <f>"10960020309"</f>
        <v>10960020309</v>
      </c>
      <c r="F72" s="7" t="str">
        <f t="shared" si="3"/>
        <v>03</v>
      </c>
      <c r="G72" s="7" t="str">
        <f>"09"</f>
        <v>09</v>
      </c>
      <c r="H72" s="7" t="s">
        <v>13</v>
      </c>
      <c r="I72" s="7" t="s">
        <v>14</v>
      </c>
      <c r="J72" s="9"/>
    </row>
    <row r="73" ht="14.25" spans="1:10">
      <c r="A73" s="7" t="s">
        <v>59</v>
      </c>
      <c r="B73" s="7" t="s">
        <v>85</v>
      </c>
      <c r="C73" s="7" t="str">
        <f t="shared" si="4"/>
        <v>男</v>
      </c>
      <c r="D73" s="7" t="str">
        <f>"411302199112065157"</f>
        <v>411302199112065157</v>
      </c>
      <c r="E73" s="8" t="str">
        <f>"10960020310"</f>
        <v>10960020310</v>
      </c>
      <c r="F73" s="7" t="str">
        <f t="shared" si="3"/>
        <v>03</v>
      </c>
      <c r="G73" s="7" t="str">
        <f>"10"</f>
        <v>10</v>
      </c>
      <c r="H73" s="7" t="s">
        <v>13</v>
      </c>
      <c r="I73" s="7" t="s">
        <v>14</v>
      </c>
      <c r="J73" s="9"/>
    </row>
    <row r="74" ht="14.25" spans="1:10">
      <c r="A74" s="7" t="s">
        <v>59</v>
      </c>
      <c r="B74" s="7" t="s">
        <v>86</v>
      </c>
      <c r="C74" s="7" t="str">
        <f t="shared" si="4"/>
        <v>女</v>
      </c>
      <c r="D74" s="7" t="str">
        <f>"420526199410051047"</f>
        <v>420526199410051047</v>
      </c>
      <c r="E74" s="8" t="str">
        <f>"10960020311"</f>
        <v>10960020311</v>
      </c>
      <c r="F74" s="7" t="str">
        <f t="shared" si="3"/>
        <v>03</v>
      </c>
      <c r="G74" s="7" t="str">
        <f>"11"</f>
        <v>11</v>
      </c>
      <c r="H74" s="7" t="s">
        <v>13</v>
      </c>
      <c r="I74" s="7">
        <v>70.9</v>
      </c>
      <c r="J74" s="9"/>
    </row>
    <row r="75" ht="14.25" spans="1:10">
      <c r="A75" s="7" t="s">
        <v>59</v>
      </c>
      <c r="B75" s="7" t="s">
        <v>87</v>
      </c>
      <c r="C75" s="7" t="str">
        <f t="shared" si="4"/>
        <v>男</v>
      </c>
      <c r="D75" s="7" t="str">
        <f>"411325199501246036"</f>
        <v>411325199501246036</v>
      </c>
      <c r="E75" s="8" t="str">
        <f>"10960020312"</f>
        <v>10960020312</v>
      </c>
      <c r="F75" s="7" t="str">
        <f t="shared" si="3"/>
        <v>03</v>
      </c>
      <c r="G75" s="7" t="str">
        <f>"12"</f>
        <v>12</v>
      </c>
      <c r="H75" s="7" t="s">
        <v>13</v>
      </c>
      <c r="I75" s="7">
        <v>66.2</v>
      </c>
      <c r="J75" s="9"/>
    </row>
    <row r="76" ht="14.25" spans="1:10">
      <c r="A76" s="7" t="s">
        <v>59</v>
      </c>
      <c r="B76" s="7" t="s">
        <v>88</v>
      </c>
      <c r="C76" s="7" t="str">
        <f t="shared" si="4"/>
        <v>女</v>
      </c>
      <c r="D76" s="7" t="str">
        <f>"411325199010209484"</f>
        <v>411325199010209484</v>
      </c>
      <c r="E76" s="8" t="str">
        <f>"10960020313"</f>
        <v>10960020313</v>
      </c>
      <c r="F76" s="7" t="str">
        <f t="shared" si="3"/>
        <v>03</v>
      </c>
      <c r="G76" s="7" t="str">
        <f>"13"</f>
        <v>13</v>
      </c>
      <c r="H76" s="7" t="s">
        <v>13</v>
      </c>
      <c r="I76" s="7" t="s">
        <v>14</v>
      </c>
      <c r="J76" s="9"/>
    </row>
    <row r="77" ht="14.25" spans="1:10">
      <c r="A77" s="7" t="s">
        <v>59</v>
      </c>
      <c r="B77" s="7" t="s">
        <v>89</v>
      </c>
      <c r="C77" s="7" t="str">
        <f t="shared" si="4"/>
        <v>男</v>
      </c>
      <c r="D77" s="7" t="str">
        <f>"411325199709239476"</f>
        <v>411325199709239476</v>
      </c>
      <c r="E77" s="8" t="str">
        <f>"10960020314"</f>
        <v>10960020314</v>
      </c>
      <c r="F77" s="7" t="str">
        <f t="shared" si="3"/>
        <v>03</v>
      </c>
      <c r="G77" s="7" t="str">
        <f>"14"</f>
        <v>14</v>
      </c>
      <c r="H77" s="7" t="s">
        <v>13</v>
      </c>
      <c r="I77" s="7">
        <v>71.2</v>
      </c>
      <c r="J77" s="9"/>
    </row>
    <row r="78" ht="14.25" spans="1:10">
      <c r="A78" s="7" t="s">
        <v>59</v>
      </c>
      <c r="B78" s="7" t="s">
        <v>90</v>
      </c>
      <c r="C78" s="7" t="str">
        <f t="shared" si="4"/>
        <v>男</v>
      </c>
      <c r="D78" s="7" t="str">
        <f>"411325199004192954"</f>
        <v>411325199004192954</v>
      </c>
      <c r="E78" s="8" t="str">
        <f>"10960020315"</f>
        <v>10960020315</v>
      </c>
      <c r="F78" s="7" t="str">
        <f t="shared" si="3"/>
        <v>03</v>
      </c>
      <c r="G78" s="7" t="str">
        <f>"15"</f>
        <v>15</v>
      </c>
      <c r="H78" s="7" t="s">
        <v>13</v>
      </c>
      <c r="I78" s="7">
        <v>64.8</v>
      </c>
      <c r="J78" s="9"/>
    </row>
    <row r="79" ht="14.25" spans="1:10">
      <c r="A79" s="7" t="s">
        <v>59</v>
      </c>
      <c r="B79" s="7" t="s">
        <v>91</v>
      </c>
      <c r="C79" s="7" t="str">
        <f t="shared" si="4"/>
        <v>女</v>
      </c>
      <c r="D79" s="7" t="str">
        <f>"411325199604191322"</f>
        <v>411325199604191322</v>
      </c>
      <c r="E79" s="8" t="str">
        <f>"10960020316"</f>
        <v>10960020316</v>
      </c>
      <c r="F79" s="7" t="str">
        <f t="shared" si="3"/>
        <v>03</v>
      </c>
      <c r="G79" s="7" t="str">
        <f>"16"</f>
        <v>16</v>
      </c>
      <c r="H79" s="7" t="s">
        <v>13</v>
      </c>
      <c r="I79" s="7">
        <v>68.7</v>
      </c>
      <c r="J79" s="9"/>
    </row>
    <row r="80" ht="14.25" spans="1:10">
      <c r="A80" s="7" t="s">
        <v>59</v>
      </c>
      <c r="B80" s="7" t="s">
        <v>92</v>
      </c>
      <c r="C80" s="7" t="str">
        <f t="shared" si="4"/>
        <v>男</v>
      </c>
      <c r="D80" s="7" t="str">
        <f>"411325199712010752"</f>
        <v>411325199712010752</v>
      </c>
      <c r="E80" s="8" t="str">
        <f>"10960020317"</f>
        <v>10960020317</v>
      </c>
      <c r="F80" s="7" t="str">
        <f t="shared" si="3"/>
        <v>03</v>
      </c>
      <c r="G80" s="7" t="str">
        <f>"17"</f>
        <v>17</v>
      </c>
      <c r="H80" s="7" t="s">
        <v>13</v>
      </c>
      <c r="I80" s="7" t="s">
        <v>14</v>
      </c>
      <c r="J80" s="9"/>
    </row>
    <row r="81" ht="14.25" spans="1:10">
      <c r="A81" s="7" t="s">
        <v>59</v>
      </c>
      <c r="B81" s="7" t="s">
        <v>93</v>
      </c>
      <c r="C81" s="7" t="str">
        <f t="shared" si="4"/>
        <v>女</v>
      </c>
      <c r="D81" s="7" t="str">
        <f>"411325199601220044"</f>
        <v>411325199601220044</v>
      </c>
      <c r="E81" s="8" t="str">
        <f>"10960020318"</f>
        <v>10960020318</v>
      </c>
      <c r="F81" s="7" t="str">
        <f t="shared" si="3"/>
        <v>03</v>
      </c>
      <c r="G81" s="7" t="str">
        <f>"18"</f>
        <v>18</v>
      </c>
      <c r="H81" s="7" t="s">
        <v>13</v>
      </c>
      <c r="I81" s="7" t="s">
        <v>14</v>
      </c>
      <c r="J81" s="9"/>
    </row>
    <row r="82" ht="14.25" spans="1:10">
      <c r="A82" s="7" t="s">
        <v>59</v>
      </c>
      <c r="B82" s="7" t="s">
        <v>94</v>
      </c>
      <c r="C82" s="7" t="str">
        <f t="shared" si="4"/>
        <v>男</v>
      </c>
      <c r="D82" s="7" t="str">
        <f>"411325199412030719"</f>
        <v>411325199412030719</v>
      </c>
      <c r="E82" s="8" t="str">
        <f>"10960020319"</f>
        <v>10960020319</v>
      </c>
      <c r="F82" s="7" t="str">
        <f t="shared" si="3"/>
        <v>03</v>
      </c>
      <c r="G82" s="7" t="str">
        <f>"19"</f>
        <v>19</v>
      </c>
      <c r="H82" s="7" t="s">
        <v>13</v>
      </c>
      <c r="I82" s="7">
        <v>64.8</v>
      </c>
      <c r="J82" s="9"/>
    </row>
    <row r="83" ht="14.25" spans="1:10">
      <c r="A83" s="7" t="s">
        <v>59</v>
      </c>
      <c r="B83" s="7" t="s">
        <v>95</v>
      </c>
      <c r="C83" s="7" t="str">
        <f t="shared" si="4"/>
        <v>女</v>
      </c>
      <c r="D83" s="7" t="str">
        <f>"411381199707050048"</f>
        <v>411381199707050048</v>
      </c>
      <c r="E83" s="8" t="str">
        <f>"10960020320"</f>
        <v>10960020320</v>
      </c>
      <c r="F83" s="7" t="str">
        <f t="shared" si="3"/>
        <v>03</v>
      </c>
      <c r="G83" s="7" t="str">
        <f>"20"</f>
        <v>20</v>
      </c>
      <c r="H83" s="7" t="s">
        <v>13</v>
      </c>
      <c r="I83" s="7" t="s">
        <v>14</v>
      </c>
      <c r="J83" s="9"/>
    </row>
    <row r="84" ht="14.25" spans="1:10">
      <c r="A84" s="7" t="s">
        <v>59</v>
      </c>
      <c r="B84" s="7" t="s">
        <v>96</v>
      </c>
      <c r="C84" s="7" t="str">
        <f t="shared" si="4"/>
        <v>男</v>
      </c>
      <c r="D84" s="7" t="str">
        <f>"411324199802210014"</f>
        <v>411324199802210014</v>
      </c>
      <c r="E84" s="8" t="str">
        <f>"10960020321"</f>
        <v>10960020321</v>
      </c>
      <c r="F84" s="7" t="str">
        <f t="shared" si="3"/>
        <v>03</v>
      </c>
      <c r="G84" s="7" t="str">
        <f>"21"</f>
        <v>21</v>
      </c>
      <c r="H84" s="7" t="s">
        <v>13</v>
      </c>
      <c r="I84" s="7" t="s">
        <v>14</v>
      </c>
      <c r="J84" s="9"/>
    </row>
    <row r="85" ht="14.25" spans="1:10">
      <c r="A85" s="7" t="s">
        <v>59</v>
      </c>
      <c r="B85" s="7" t="s">
        <v>97</v>
      </c>
      <c r="C85" s="7" t="str">
        <f t="shared" si="4"/>
        <v>女</v>
      </c>
      <c r="D85" s="7" t="str">
        <f>"412822199204240067"</f>
        <v>412822199204240067</v>
      </c>
      <c r="E85" s="8" t="str">
        <f>"10960020322"</f>
        <v>10960020322</v>
      </c>
      <c r="F85" s="7" t="str">
        <f t="shared" si="3"/>
        <v>03</v>
      </c>
      <c r="G85" s="7" t="str">
        <f>"22"</f>
        <v>22</v>
      </c>
      <c r="H85" s="7" t="s">
        <v>13</v>
      </c>
      <c r="I85" s="7">
        <v>60.2</v>
      </c>
      <c r="J85" s="9"/>
    </row>
    <row r="86" ht="14.25" spans="1:10">
      <c r="A86" s="7" t="s">
        <v>59</v>
      </c>
      <c r="B86" s="7" t="s">
        <v>98</v>
      </c>
      <c r="C86" s="7" t="str">
        <f t="shared" si="4"/>
        <v>男</v>
      </c>
      <c r="D86" s="7" t="str">
        <f>"411325199108260034"</f>
        <v>411325199108260034</v>
      </c>
      <c r="E86" s="8" t="str">
        <f>"10960020323"</f>
        <v>10960020323</v>
      </c>
      <c r="F86" s="7" t="str">
        <f t="shared" si="3"/>
        <v>03</v>
      </c>
      <c r="G86" s="7" t="str">
        <f>"23"</f>
        <v>23</v>
      </c>
      <c r="H86" s="7" t="s">
        <v>13</v>
      </c>
      <c r="I86" s="7">
        <v>46.5</v>
      </c>
      <c r="J86" s="9"/>
    </row>
    <row r="87" ht="14.25" spans="1:10">
      <c r="A87" s="7" t="s">
        <v>59</v>
      </c>
      <c r="B87" s="7" t="s">
        <v>99</v>
      </c>
      <c r="C87" s="7" t="str">
        <f t="shared" si="4"/>
        <v>男</v>
      </c>
      <c r="D87" s="7" t="str">
        <f>"411322199509070339"</f>
        <v>411322199509070339</v>
      </c>
      <c r="E87" s="8" t="str">
        <f>"10960020324"</f>
        <v>10960020324</v>
      </c>
      <c r="F87" s="7" t="str">
        <f t="shared" si="3"/>
        <v>03</v>
      </c>
      <c r="G87" s="7" t="str">
        <f>"24"</f>
        <v>24</v>
      </c>
      <c r="H87" s="7" t="s">
        <v>13</v>
      </c>
      <c r="I87" s="7">
        <v>56.7</v>
      </c>
      <c r="J87" s="9"/>
    </row>
    <row r="88" ht="14.25" spans="1:10">
      <c r="A88" s="7" t="s">
        <v>59</v>
      </c>
      <c r="B88" s="7" t="s">
        <v>100</v>
      </c>
      <c r="C88" s="7" t="str">
        <f t="shared" si="4"/>
        <v>男</v>
      </c>
      <c r="D88" s="7" t="str">
        <f>"411325199801165051"</f>
        <v>411325199801165051</v>
      </c>
      <c r="E88" s="8" t="str">
        <f>"10960020325"</f>
        <v>10960020325</v>
      </c>
      <c r="F88" s="7" t="str">
        <f t="shared" si="3"/>
        <v>03</v>
      </c>
      <c r="G88" s="7" t="str">
        <f>"25"</f>
        <v>25</v>
      </c>
      <c r="H88" s="7" t="s">
        <v>13</v>
      </c>
      <c r="I88" s="7">
        <v>47.6</v>
      </c>
      <c r="J88" s="9"/>
    </row>
    <row r="89" ht="14.25" spans="1:10">
      <c r="A89" s="7" t="s">
        <v>59</v>
      </c>
      <c r="B89" s="7" t="s">
        <v>101</v>
      </c>
      <c r="C89" s="7" t="str">
        <f t="shared" si="4"/>
        <v>男</v>
      </c>
      <c r="D89" s="7" t="str">
        <f>"411325199812220415"</f>
        <v>411325199812220415</v>
      </c>
      <c r="E89" s="8" t="str">
        <f>"10960020326"</f>
        <v>10960020326</v>
      </c>
      <c r="F89" s="7" t="str">
        <f t="shared" si="3"/>
        <v>03</v>
      </c>
      <c r="G89" s="7" t="str">
        <f>"26"</f>
        <v>26</v>
      </c>
      <c r="H89" s="7" t="s">
        <v>13</v>
      </c>
      <c r="I89" s="7" t="s">
        <v>14</v>
      </c>
      <c r="J89" s="9"/>
    </row>
    <row r="90" ht="14.25" spans="1:10">
      <c r="A90" s="7" t="s">
        <v>59</v>
      </c>
      <c r="B90" s="7" t="s">
        <v>102</v>
      </c>
      <c r="C90" s="7" t="str">
        <f t="shared" si="4"/>
        <v>男</v>
      </c>
      <c r="D90" s="7" t="str">
        <f>"412822199004098318"</f>
        <v>412822199004098318</v>
      </c>
      <c r="E90" s="8" t="str">
        <f>"10960020327"</f>
        <v>10960020327</v>
      </c>
      <c r="F90" s="7" t="str">
        <f t="shared" si="3"/>
        <v>03</v>
      </c>
      <c r="G90" s="7" t="str">
        <f>"27"</f>
        <v>27</v>
      </c>
      <c r="H90" s="7" t="s">
        <v>13</v>
      </c>
      <c r="I90" s="7" t="s">
        <v>14</v>
      </c>
      <c r="J90" s="9"/>
    </row>
    <row r="91" ht="14.25" spans="1:10">
      <c r="A91" s="7" t="s">
        <v>59</v>
      </c>
      <c r="B91" s="7" t="s">
        <v>103</v>
      </c>
      <c r="C91" s="7" t="str">
        <f t="shared" si="4"/>
        <v>男</v>
      </c>
      <c r="D91" s="7" t="str">
        <f>"41272219971123001X"</f>
        <v>41272219971123001X</v>
      </c>
      <c r="E91" s="8" t="str">
        <f>"10960020328"</f>
        <v>10960020328</v>
      </c>
      <c r="F91" s="7" t="str">
        <f t="shared" si="3"/>
        <v>03</v>
      </c>
      <c r="G91" s="7" t="str">
        <f>"28"</f>
        <v>28</v>
      </c>
      <c r="H91" s="7" t="s">
        <v>13</v>
      </c>
      <c r="I91" s="7" t="s">
        <v>14</v>
      </c>
      <c r="J91" s="9"/>
    </row>
    <row r="92" ht="14.25" spans="1:10">
      <c r="A92" s="7" t="s">
        <v>59</v>
      </c>
      <c r="B92" s="7" t="s">
        <v>104</v>
      </c>
      <c r="C92" s="7" t="str">
        <f t="shared" si="4"/>
        <v>男</v>
      </c>
      <c r="D92" s="7" t="str">
        <f>"411326199411142416"</f>
        <v>411326199411142416</v>
      </c>
      <c r="E92" s="8" t="str">
        <f>"10960020329"</f>
        <v>10960020329</v>
      </c>
      <c r="F92" s="7" t="str">
        <f t="shared" si="3"/>
        <v>03</v>
      </c>
      <c r="G92" s="7" t="str">
        <f>"29"</f>
        <v>29</v>
      </c>
      <c r="H92" s="7" t="s">
        <v>13</v>
      </c>
      <c r="I92" s="7">
        <v>58.6</v>
      </c>
      <c r="J92" s="9"/>
    </row>
    <row r="93" ht="14.25" spans="1:10">
      <c r="A93" s="7" t="s">
        <v>59</v>
      </c>
      <c r="B93" s="7" t="s">
        <v>105</v>
      </c>
      <c r="C93" s="7" t="str">
        <f t="shared" si="4"/>
        <v>女</v>
      </c>
      <c r="D93" s="7" t="str">
        <f>"411325199510299447"</f>
        <v>411325199510299447</v>
      </c>
      <c r="E93" s="8" t="str">
        <f>"10960020330"</f>
        <v>10960020330</v>
      </c>
      <c r="F93" s="7" t="str">
        <f t="shared" si="3"/>
        <v>03</v>
      </c>
      <c r="G93" s="7" t="str">
        <f>"30"</f>
        <v>30</v>
      </c>
      <c r="H93" s="7" t="s">
        <v>13</v>
      </c>
      <c r="I93" s="7">
        <v>56</v>
      </c>
      <c r="J93" s="9"/>
    </row>
    <row r="94" ht="14.25" spans="1:10">
      <c r="A94" s="7" t="s">
        <v>59</v>
      </c>
      <c r="B94" s="7" t="s">
        <v>106</v>
      </c>
      <c r="C94" s="7" t="str">
        <f t="shared" si="4"/>
        <v>男</v>
      </c>
      <c r="D94" s="7" t="str">
        <f>"410481199209156071"</f>
        <v>410481199209156071</v>
      </c>
      <c r="E94" s="8" t="str">
        <f>"10960020401"</f>
        <v>10960020401</v>
      </c>
      <c r="F94" s="7" t="str">
        <f t="shared" ref="F94:F123" si="5">"04"</f>
        <v>04</v>
      </c>
      <c r="G94" s="7" t="str">
        <f>"01"</f>
        <v>01</v>
      </c>
      <c r="H94" s="7" t="s">
        <v>13</v>
      </c>
      <c r="I94" s="7">
        <v>69.7</v>
      </c>
      <c r="J94" s="9"/>
    </row>
    <row r="95" ht="14.25" spans="1:10">
      <c r="A95" s="7" t="s">
        <v>59</v>
      </c>
      <c r="B95" s="7" t="s">
        <v>107</v>
      </c>
      <c r="C95" s="7" t="str">
        <f t="shared" si="4"/>
        <v>男</v>
      </c>
      <c r="D95" s="7" t="str">
        <f>"411325199001160033"</f>
        <v>411325199001160033</v>
      </c>
      <c r="E95" s="8" t="str">
        <f>"10960020402"</f>
        <v>10960020402</v>
      </c>
      <c r="F95" s="7" t="str">
        <f t="shared" si="5"/>
        <v>04</v>
      </c>
      <c r="G95" s="7" t="str">
        <f>"02"</f>
        <v>02</v>
      </c>
      <c r="H95" s="7" t="s">
        <v>13</v>
      </c>
      <c r="I95" s="7" t="s">
        <v>14</v>
      </c>
      <c r="J95" s="9"/>
    </row>
    <row r="96" ht="14.25" spans="1:10">
      <c r="A96" s="7" t="s">
        <v>59</v>
      </c>
      <c r="B96" s="7" t="s">
        <v>108</v>
      </c>
      <c r="C96" s="7" t="str">
        <f t="shared" si="4"/>
        <v>女</v>
      </c>
      <c r="D96" s="7" t="str">
        <f>"411325199703240441"</f>
        <v>411325199703240441</v>
      </c>
      <c r="E96" s="8" t="str">
        <f>"10960020403"</f>
        <v>10960020403</v>
      </c>
      <c r="F96" s="7" t="str">
        <f t="shared" si="5"/>
        <v>04</v>
      </c>
      <c r="G96" s="7" t="str">
        <f>"03"</f>
        <v>03</v>
      </c>
      <c r="H96" s="7" t="s">
        <v>13</v>
      </c>
      <c r="I96" s="7" t="s">
        <v>14</v>
      </c>
      <c r="J96" s="9"/>
    </row>
    <row r="97" ht="14.25" spans="1:10">
      <c r="A97" s="7" t="s">
        <v>59</v>
      </c>
      <c r="B97" s="7" t="s">
        <v>109</v>
      </c>
      <c r="C97" s="7" t="str">
        <f t="shared" si="4"/>
        <v>女</v>
      </c>
      <c r="D97" s="7" t="str">
        <f>"411325199606277023"</f>
        <v>411325199606277023</v>
      </c>
      <c r="E97" s="8" t="str">
        <f>"10960020404"</f>
        <v>10960020404</v>
      </c>
      <c r="F97" s="7" t="str">
        <f t="shared" si="5"/>
        <v>04</v>
      </c>
      <c r="G97" s="7" t="str">
        <f>"04"</f>
        <v>04</v>
      </c>
      <c r="H97" s="7" t="s">
        <v>13</v>
      </c>
      <c r="I97" s="7" t="s">
        <v>14</v>
      </c>
      <c r="J97" s="9"/>
    </row>
    <row r="98" ht="14.25" spans="1:10">
      <c r="A98" s="7" t="s">
        <v>59</v>
      </c>
      <c r="B98" s="7" t="s">
        <v>110</v>
      </c>
      <c r="C98" s="7" t="str">
        <f t="shared" si="4"/>
        <v>男</v>
      </c>
      <c r="D98" s="7" t="str">
        <f>"411325199301082970"</f>
        <v>411325199301082970</v>
      </c>
      <c r="E98" s="8" t="str">
        <f>"10960020405"</f>
        <v>10960020405</v>
      </c>
      <c r="F98" s="7" t="str">
        <f t="shared" si="5"/>
        <v>04</v>
      </c>
      <c r="G98" s="7" t="str">
        <f>"05"</f>
        <v>05</v>
      </c>
      <c r="H98" s="7" t="s">
        <v>13</v>
      </c>
      <c r="I98" s="7">
        <v>51</v>
      </c>
      <c r="J98" s="9"/>
    </row>
    <row r="99" ht="14.25" spans="1:10">
      <c r="A99" s="7" t="s">
        <v>59</v>
      </c>
      <c r="B99" s="7" t="s">
        <v>111</v>
      </c>
      <c r="C99" s="7" t="str">
        <f t="shared" si="4"/>
        <v>男</v>
      </c>
      <c r="D99" s="7" t="str">
        <f>"411325199509240712"</f>
        <v>411325199509240712</v>
      </c>
      <c r="E99" s="8" t="str">
        <f>"10960020406"</f>
        <v>10960020406</v>
      </c>
      <c r="F99" s="7" t="str">
        <f t="shared" si="5"/>
        <v>04</v>
      </c>
      <c r="G99" s="7" t="str">
        <f>"06"</f>
        <v>06</v>
      </c>
      <c r="H99" s="7" t="s">
        <v>45</v>
      </c>
      <c r="I99" s="7">
        <v>61.2</v>
      </c>
      <c r="J99" s="9"/>
    </row>
    <row r="100" ht="14.25" spans="1:10">
      <c r="A100" s="7" t="s">
        <v>59</v>
      </c>
      <c r="B100" s="7" t="s">
        <v>112</v>
      </c>
      <c r="C100" s="7" t="str">
        <f t="shared" si="4"/>
        <v>男</v>
      </c>
      <c r="D100" s="7" t="str">
        <f>"411303199607013910"</f>
        <v>411303199607013910</v>
      </c>
      <c r="E100" s="8" t="str">
        <f>"10960020407"</f>
        <v>10960020407</v>
      </c>
      <c r="F100" s="7" t="str">
        <f t="shared" si="5"/>
        <v>04</v>
      </c>
      <c r="G100" s="7" t="str">
        <f>"07"</f>
        <v>07</v>
      </c>
      <c r="H100" s="7" t="s">
        <v>45</v>
      </c>
      <c r="I100" s="7" t="s">
        <v>14</v>
      </c>
      <c r="J100" s="9"/>
    </row>
    <row r="101" ht="14.25" spans="1:10">
      <c r="A101" s="7" t="s">
        <v>59</v>
      </c>
      <c r="B101" s="7" t="s">
        <v>113</v>
      </c>
      <c r="C101" s="7" t="str">
        <f t="shared" si="4"/>
        <v>男</v>
      </c>
      <c r="D101" s="7" t="str">
        <f>"411325199612060410"</f>
        <v>411325199612060410</v>
      </c>
      <c r="E101" s="8" t="str">
        <f>"10960020408"</f>
        <v>10960020408</v>
      </c>
      <c r="F101" s="7" t="str">
        <f t="shared" si="5"/>
        <v>04</v>
      </c>
      <c r="G101" s="7" t="str">
        <f>"08"</f>
        <v>08</v>
      </c>
      <c r="H101" s="7" t="s">
        <v>45</v>
      </c>
      <c r="I101" s="7" t="s">
        <v>14</v>
      </c>
      <c r="J101" s="9"/>
    </row>
    <row r="102" ht="14.25" spans="1:10">
      <c r="A102" s="7" t="s">
        <v>59</v>
      </c>
      <c r="B102" s="7" t="s">
        <v>114</v>
      </c>
      <c r="C102" s="7" t="str">
        <f t="shared" si="4"/>
        <v>女</v>
      </c>
      <c r="D102" s="7" t="str">
        <f>"41132519971101652X"</f>
        <v>41132519971101652X</v>
      </c>
      <c r="E102" s="8" t="str">
        <f>"10960020409"</f>
        <v>10960020409</v>
      </c>
      <c r="F102" s="7" t="str">
        <f t="shared" si="5"/>
        <v>04</v>
      </c>
      <c r="G102" s="7" t="str">
        <f>"09"</f>
        <v>09</v>
      </c>
      <c r="H102" s="7" t="s">
        <v>45</v>
      </c>
      <c r="I102" s="7" t="s">
        <v>14</v>
      </c>
      <c r="J102" s="9"/>
    </row>
    <row r="103" ht="14.25" spans="1:10">
      <c r="A103" s="7" t="s">
        <v>59</v>
      </c>
      <c r="B103" s="7" t="s">
        <v>115</v>
      </c>
      <c r="C103" s="7" t="str">
        <f t="shared" si="4"/>
        <v>男</v>
      </c>
      <c r="D103" s="7" t="str">
        <f>"411323199804085011"</f>
        <v>411323199804085011</v>
      </c>
      <c r="E103" s="8" t="str">
        <f>"10960020410"</f>
        <v>10960020410</v>
      </c>
      <c r="F103" s="7" t="str">
        <f t="shared" si="5"/>
        <v>04</v>
      </c>
      <c r="G103" s="7" t="str">
        <f>"10"</f>
        <v>10</v>
      </c>
      <c r="H103" s="7" t="s">
        <v>45</v>
      </c>
      <c r="I103" s="7" t="s">
        <v>14</v>
      </c>
      <c r="J103" s="9"/>
    </row>
    <row r="104" ht="14.25" spans="1:10">
      <c r="A104" s="7" t="s">
        <v>59</v>
      </c>
      <c r="B104" s="7" t="s">
        <v>116</v>
      </c>
      <c r="C104" s="7" t="str">
        <f t="shared" si="4"/>
        <v>男</v>
      </c>
      <c r="D104" s="7" t="str">
        <f>"411381199604077133"</f>
        <v>411381199604077133</v>
      </c>
      <c r="E104" s="8" t="str">
        <f>"10960020411"</f>
        <v>10960020411</v>
      </c>
      <c r="F104" s="7" t="str">
        <f t="shared" si="5"/>
        <v>04</v>
      </c>
      <c r="G104" s="7" t="str">
        <f>"11"</f>
        <v>11</v>
      </c>
      <c r="H104" s="7" t="s">
        <v>45</v>
      </c>
      <c r="I104" s="7" t="s">
        <v>14</v>
      </c>
      <c r="J104" s="9"/>
    </row>
    <row r="105" ht="14.25" spans="1:10">
      <c r="A105" s="7" t="s">
        <v>59</v>
      </c>
      <c r="B105" s="7" t="s">
        <v>117</v>
      </c>
      <c r="C105" s="7" t="str">
        <f t="shared" si="4"/>
        <v>女</v>
      </c>
      <c r="D105" s="7" t="str">
        <f>"41018219960909034X"</f>
        <v>41018219960909034X</v>
      </c>
      <c r="E105" s="8" t="str">
        <f>"10960020412"</f>
        <v>10960020412</v>
      </c>
      <c r="F105" s="7" t="str">
        <f t="shared" si="5"/>
        <v>04</v>
      </c>
      <c r="G105" s="7" t="str">
        <f>"12"</f>
        <v>12</v>
      </c>
      <c r="H105" s="7" t="s">
        <v>45</v>
      </c>
      <c r="I105" s="7" t="s">
        <v>14</v>
      </c>
      <c r="J105" s="9"/>
    </row>
    <row r="106" ht="14.25" spans="1:10">
      <c r="A106" s="7" t="s">
        <v>59</v>
      </c>
      <c r="B106" s="7" t="s">
        <v>118</v>
      </c>
      <c r="C106" s="7" t="str">
        <f t="shared" si="4"/>
        <v>女</v>
      </c>
      <c r="D106" s="7" t="str">
        <f>"411328199211254643"</f>
        <v>411328199211254643</v>
      </c>
      <c r="E106" s="8" t="str">
        <f>"10960020413"</f>
        <v>10960020413</v>
      </c>
      <c r="F106" s="7" t="str">
        <f t="shared" si="5"/>
        <v>04</v>
      </c>
      <c r="G106" s="7" t="str">
        <f>"13"</f>
        <v>13</v>
      </c>
      <c r="H106" s="7" t="s">
        <v>45</v>
      </c>
      <c r="I106" s="7">
        <v>73.6</v>
      </c>
      <c r="J106" s="9"/>
    </row>
    <row r="107" ht="14.25" spans="1:10">
      <c r="A107" s="7" t="s">
        <v>59</v>
      </c>
      <c r="B107" s="7" t="s">
        <v>119</v>
      </c>
      <c r="C107" s="7" t="str">
        <f t="shared" si="4"/>
        <v>男</v>
      </c>
      <c r="D107" s="7" t="str">
        <f>"412822199705010016"</f>
        <v>412822199705010016</v>
      </c>
      <c r="E107" s="8" t="str">
        <f>"10960020414"</f>
        <v>10960020414</v>
      </c>
      <c r="F107" s="7" t="str">
        <f t="shared" si="5"/>
        <v>04</v>
      </c>
      <c r="G107" s="7" t="str">
        <f>"14"</f>
        <v>14</v>
      </c>
      <c r="H107" s="7" t="s">
        <v>45</v>
      </c>
      <c r="I107" s="7">
        <v>52.8</v>
      </c>
      <c r="J107" s="9"/>
    </row>
    <row r="108" ht="14.25" spans="1:10">
      <c r="A108" s="7" t="s">
        <v>59</v>
      </c>
      <c r="B108" s="7" t="s">
        <v>120</v>
      </c>
      <c r="C108" s="7" t="str">
        <f t="shared" si="4"/>
        <v>女</v>
      </c>
      <c r="D108" s="7" t="str">
        <f>"410182199204221428"</f>
        <v>410182199204221428</v>
      </c>
      <c r="E108" s="8" t="str">
        <f>"10960020415"</f>
        <v>10960020415</v>
      </c>
      <c r="F108" s="7" t="str">
        <f t="shared" si="5"/>
        <v>04</v>
      </c>
      <c r="G108" s="7" t="str">
        <f>"15"</f>
        <v>15</v>
      </c>
      <c r="H108" s="7" t="s">
        <v>45</v>
      </c>
      <c r="I108" s="7" t="s">
        <v>14</v>
      </c>
      <c r="J108" s="9"/>
    </row>
    <row r="109" ht="14.25" spans="1:10">
      <c r="A109" s="7" t="s">
        <v>59</v>
      </c>
      <c r="B109" s="7" t="s">
        <v>121</v>
      </c>
      <c r="C109" s="7" t="str">
        <f t="shared" si="4"/>
        <v>男</v>
      </c>
      <c r="D109" s="7" t="str">
        <f>"411322199008071616"</f>
        <v>411322199008071616</v>
      </c>
      <c r="E109" s="8" t="str">
        <f>"10960020416"</f>
        <v>10960020416</v>
      </c>
      <c r="F109" s="7" t="str">
        <f t="shared" si="5"/>
        <v>04</v>
      </c>
      <c r="G109" s="7" t="str">
        <f>"16"</f>
        <v>16</v>
      </c>
      <c r="H109" s="7" t="s">
        <v>45</v>
      </c>
      <c r="I109" s="7">
        <v>75.5</v>
      </c>
      <c r="J109" s="9"/>
    </row>
    <row r="110" ht="14.25" spans="1:10">
      <c r="A110" s="7" t="s">
        <v>59</v>
      </c>
      <c r="B110" s="7" t="s">
        <v>122</v>
      </c>
      <c r="C110" s="7" t="str">
        <f t="shared" si="4"/>
        <v>男</v>
      </c>
      <c r="D110" s="7" t="str">
        <f>"130730199108241815"</f>
        <v>130730199108241815</v>
      </c>
      <c r="E110" s="8" t="str">
        <f>"10960020417"</f>
        <v>10960020417</v>
      </c>
      <c r="F110" s="7" t="str">
        <f t="shared" si="5"/>
        <v>04</v>
      </c>
      <c r="G110" s="7" t="str">
        <f>"17"</f>
        <v>17</v>
      </c>
      <c r="H110" s="7" t="s">
        <v>45</v>
      </c>
      <c r="I110" s="7" t="s">
        <v>14</v>
      </c>
      <c r="J110" s="9"/>
    </row>
    <row r="111" ht="14.25" spans="1:10">
      <c r="A111" s="7" t="s">
        <v>59</v>
      </c>
      <c r="B111" s="7" t="s">
        <v>123</v>
      </c>
      <c r="C111" s="7" t="str">
        <f t="shared" si="4"/>
        <v>男</v>
      </c>
      <c r="D111" s="7" t="str">
        <f>"411329199908100018"</f>
        <v>411329199908100018</v>
      </c>
      <c r="E111" s="8" t="str">
        <f>"10960020418"</f>
        <v>10960020418</v>
      </c>
      <c r="F111" s="7" t="str">
        <f t="shared" si="5"/>
        <v>04</v>
      </c>
      <c r="G111" s="7" t="str">
        <f>"18"</f>
        <v>18</v>
      </c>
      <c r="H111" s="7" t="s">
        <v>45</v>
      </c>
      <c r="I111" s="7">
        <v>58.7</v>
      </c>
      <c r="J111" s="9"/>
    </row>
    <row r="112" ht="14.25" spans="1:10">
      <c r="A112" s="7" t="s">
        <v>59</v>
      </c>
      <c r="B112" s="7" t="s">
        <v>124</v>
      </c>
      <c r="C112" s="7" t="str">
        <f t="shared" si="4"/>
        <v>女</v>
      </c>
      <c r="D112" s="7" t="str">
        <f>"411328199108060066"</f>
        <v>411328199108060066</v>
      </c>
      <c r="E112" s="8" t="str">
        <f>"10960020419"</f>
        <v>10960020419</v>
      </c>
      <c r="F112" s="7" t="str">
        <f t="shared" si="5"/>
        <v>04</v>
      </c>
      <c r="G112" s="7" t="str">
        <f>"19"</f>
        <v>19</v>
      </c>
      <c r="H112" s="7" t="s">
        <v>45</v>
      </c>
      <c r="I112" s="7">
        <v>56.2</v>
      </c>
      <c r="J112" s="9"/>
    </row>
    <row r="113" ht="14.25" spans="1:10">
      <c r="A113" s="7" t="s">
        <v>59</v>
      </c>
      <c r="B113" s="7" t="s">
        <v>125</v>
      </c>
      <c r="C113" s="7" t="str">
        <f t="shared" si="4"/>
        <v>男</v>
      </c>
      <c r="D113" s="7" t="str">
        <f>"411329199505255357"</f>
        <v>411329199505255357</v>
      </c>
      <c r="E113" s="8" t="str">
        <f>"10960020420"</f>
        <v>10960020420</v>
      </c>
      <c r="F113" s="7" t="str">
        <f t="shared" si="5"/>
        <v>04</v>
      </c>
      <c r="G113" s="7" t="str">
        <f>"20"</f>
        <v>20</v>
      </c>
      <c r="H113" s="7" t="s">
        <v>45</v>
      </c>
      <c r="I113" s="7">
        <v>62.8</v>
      </c>
      <c r="J113" s="9"/>
    </row>
    <row r="114" ht="14.25" spans="1:10">
      <c r="A114" s="7" t="s">
        <v>59</v>
      </c>
      <c r="B114" s="7" t="s">
        <v>126</v>
      </c>
      <c r="C114" s="7" t="str">
        <f t="shared" si="4"/>
        <v>男</v>
      </c>
      <c r="D114" s="7" t="str">
        <f>"411321199706182915"</f>
        <v>411321199706182915</v>
      </c>
      <c r="E114" s="8" t="str">
        <f>"10960020421"</f>
        <v>10960020421</v>
      </c>
      <c r="F114" s="7" t="str">
        <f t="shared" si="5"/>
        <v>04</v>
      </c>
      <c r="G114" s="7" t="str">
        <f>"21"</f>
        <v>21</v>
      </c>
      <c r="H114" s="7" t="s">
        <v>45</v>
      </c>
      <c r="I114" s="7">
        <v>57.4</v>
      </c>
      <c r="J114" s="9"/>
    </row>
    <row r="115" ht="14.25" spans="1:10">
      <c r="A115" s="7" t="s">
        <v>59</v>
      </c>
      <c r="B115" s="7" t="s">
        <v>127</v>
      </c>
      <c r="C115" s="7" t="str">
        <f t="shared" si="4"/>
        <v>男</v>
      </c>
      <c r="D115" s="7" t="str">
        <f>"411102199702190117"</f>
        <v>411102199702190117</v>
      </c>
      <c r="E115" s="8" t="str">
        <f>"10960020422"</f>
        <v>10960020422</v>
      </c>
      <c r="F115" s="7" t="str">
        <f t="shared" si="5"/>
        <v>04</v>
      </c>
      <c r="G115" s="7" t="str">
        <f>"22"</f>
        <v>22</v>
      </c>
      <c r="H115" s="7" t="s">
        <v>45</v>
      </c>
      <c r="I115" s="7" t="s">
        <v>14</v>
      </c>
      <c r="J115" s="9"/>
    </row>
    <row r="116" ht="14.25" spans="1:10">
      <c r="A116" s="7" t="s">
        <v>59</v>
      </c>
      <c r="B116" s="7" t="s">
        <v>128</v>
      </c>
      <c r="C116" s="7" t="str">
        <f t="shared" si="4"/>
        <v>女</v>
      </c>
      <c r="D116" s="7" t="str">
        <f>"411302199707272323"</f>
        <v>411302199707272323</v>
      </c>
      <c r="E116" s="8" t="str">
        <f>"10960020423"</f>
        <v>10960020423</v>
      </c>
      <c r="F116" s="7" t="str">
        <f t="shared" si="5"/>
        <v>04</v>
      </c>
      <c r="G116" s="7" t="str">
        <f>"23"</f>
        <v>23</v>
      </c>
      <c r="H116" s="7" t="s">
        <v>45</v>
      </c>
      <c r="I116" s="7">
        <v>62</v>
      </c>
      <c r="J116" s="9"/>
    </row>
    <row r="117" ht="14.25" spans="1:10">
      <c r="A117" s="7" t="s">
        <v>59</v>
      </c>
      <c r="B117" s="7" t="s">
        <v>129</v>
      </c>
      <c r="C117" s="7" t="str">
        <f t="shared" si="4"/>
        <v>男</v>
      </c>
      <c r="D117" s="7" t="str">
        <f>"411325199209141317"</f>
        <v>411325199209141317</v>
      </c>
      <c r="E117" s="8" t="str">
        <f>"10960020424"</f>
        <v>10960020424</v>
      </c>
      <c r="F117" s="7" t="str">
        <f t="shared" si="5"/>
        <v>04</v>
      </c>
      <c r="G117" s="7" t="str">
        <f>"24"</f>
        <v>24</v>
      </c>
      <c r="H117" s="7" t="s">
        <v>45</v>
      </c>
      <c r="I117" s="7">
        <v>80.4</v>
      </c>
      <c r="J117" s="9"/>
    </row>
    <row r="118" ht="14.25" spans="1:10">
      <c r="A118" s="7" t="s">
        <v>59</v>
      </c>
      <c r="B118" s="7" t="s">
        <v>130</v>
      </c>
      <c r="C118" s="7" t="str">
        <f t="shared" si="4"/>
        <v>男</v>
      </c>
      <c r="D118" s="7" t="str">
        <f>"411325199111255535"</f>
        <v>411325199111255535</v>
      </c>
      <c r="E118" s="8" t="str">
        <f>"10960020425"</f>
        <v>10960020425</v>
      </c>
      <c r="F118" s="7" t="str">
        <f t="shared" si="5"/>
        <v>04</v>
      </c>
      <c r="G118" s="7" t="str">
        <f>"25"</f>
        <v>25</v>
      </c>
      <c r="H118" s="7" t="s">
        <v>45</v>
      </c>
      <c r="I118" s="7" t="s">
        <v>14</v>
      </c>
      <c r="J118" s="9"/>
    </row>
    <row r="119" ht="14.25" spans="1:10">
      <c r="A119" s="7" t="s">
        <v>59</v>
      </c>
      <c r="B119" s="7" t="s">
        <v>131</v>
      </c>
      <c r="C119" s="7" t="str">
        <f t="shared" si="4"/>
        <v>男</v>
      </c>
      <c r="D119" s="7" t="str">
        <f>"341224199209199893"</f>
        <v>341224199209199893</v>
      </c>
      <c r="E119" s="8" t="str">
        <f>"10960020426"</f>
        <v>10960020426</v>
      </c>
      <c r="F119" s="7" t="str">
        <f t="shared" si="5"/>
        <v>04</v>
      </c>
      <c r="G119" s="7" t="str">
        <f>"26"</f>
        <v>26</v>
      </c>
      <c r="H119" s="7" t="s">
        <v>45</v>
      </c>
      <c r="I119" s="7" t="s">
        <v>14</v>
      </c>
      <c r="J119" s="9"/>
    </row>
    <row r="120" ht="14.25" spans="1:10">
      <c r="A120" s="7" t="s">
        <v>59</v>
      </c>
      <c r="B120" s="7" t="s">
        <v>132</v>
      </c>
      <c r="C120" s="7" t="str">
        <f t="shared" si="4"/>
        <v>男</v>
      </c>
      <c r="D120" s="7" t="str">
        <f>"411325199812276515"</f>
        <v>411325199812276515</v>
      </c>
      <c r="E120" s="8" t="str">
        <f>"10960020427"</f>
        <v>10960020427</v>
      </c>
      <c r="F120" s="7" t="str">
        <f t="shared" si="5"/>
        <v>04</v>
      </c>
      <c r="G120" s="7" t="str">
        <f>"27"</f>
        <v>27</v>
      </c>
      <c r="H120" s="7" t="s">
        <v>45</v>
      </c>
      <c r="I120" s="7">
        <v>62.2</v>
      </c>
      <c r="J120" s="9"/>
    </row>
    <row r="121" ht="14.25" spans="1:10">
      <c r="A121" s="7" t="s">
        <v>59</v>
      </c>
      <c r="B121" s="7" t="s">
        <v>133</v>
      </c>
      <c r="C121" s="7" t="str">
        <f t="shared" si="4"/>
        <v>男</v>
      </c>
      <c r="D121" s="7" t="str">
        <f>"412829199608050010"</f>
        <v>412829199608050010</v>
      </c>
      <c r="E121" s="8" t="str">
        <f>"10960020428"</f>
        <v>10960020428</v>
      </c>
      <c r="F121" s="7" t="str">
        <f t="shared" si="5"/>
        <v>04</v>
      </c>
      <c r="G121" s="7" t="str">
        <f>"28"</f>
        <v>28</v>
      </c>
      <c r="H121" s="7" t="s">
        <v>45</v>
      </c>
      <c r="I121" s="7" t="s">
        <v>14</v>
      </c>
      <c r="J121" s="9"/>
    </row>
    <row r="122" ht="14.25" spans="1:10">
      <c r="A122" s="7" t="s">
        <v>59</v>
      </c>
      <c r="B122" s="7" t="s">
        <v>134</v>
      </c>
      <c r="C122" s="7" t="str">
        <f t="shared" si="4"/>
        <v>女</v>
      </c>
      <c r="D122" s="7" t="str">
        <f>"411224199710058523"</f>
        <v>411224199710058523</v>
      </c>
      <c r="E122" s="8" t="str">
        <f>"10960020429"</f>
        <v>10960020429</v>
      </c>
      <c r="F122" s="7" t="str">
        <f t="shared" si="5"/>
        <v>04</v>
      </c>
      <c r="G122" s="7" t="str">
        <f>"29"</f>
        <v>29</v>
      </c>
      <c r="H122" s="7" t="s">
        <v>45</v>
      </c>
      <c r="I122" s="7" t="s">
        <v>14</v>
      </c>
      <c r="J122" s="9"/>
    </row>
    <row r="123" ht="14.25" spans="1:10">
      <c r="A123" s="7" t="s">
        <v>59</v>
      </c>
      <c r="B123" s="7" t="s">
        <v>135</v>
      </c>
      <c r="C123" s="7" t="str">
        <f t="shared" si="4"/>
        <v>男</v>
      </c>
      <c r="D123" s="7" t="str">
        <f>"411328199002280810"</f>
        <v>411328199002280810</v>
      </c>
      <c r="E123" s="8" t="str">
        <f>"10960020430"</f>
        <v>10960020430</v>
      </c>
      <c r="F123" s="7" t="str">
        <f t="shared" si="5"/>
        <v>04</v>
      </c>
      <c r="G123" s="7" t="str">
        <f>"30"</f>
        <v>30</v>
      </c>
      <c r="H123" s="7" t="s">
        <v>45</v>
      </c>
      <c r="I123" s="7">
        <v>74.2</v>
      </c>
      <c r="J123" s="9"/>
    </row>
    <row r="124" ht="14.25" spans="1:10">
      <c r="A124" s="7" t="s">
        <v>59</v>
      </c>
      <c r="B124" s="7" t="s">
        <v>136</v>
      </c>
      <c r="C124" s="7" t="str">
        <f t="shared" si="4"/>
        <v>男</v>
      </c>
      <c r="D124" s="7" t="str">
        <f>"411321199206143231"</f>
        <v>411321199206143231</v>
      </c>
      <c r="E124" s="8" t="str">
        <f>"10960020501"</f>
        <v>10960020501</v>
      </c>
      <c r="F124" s="7" t="str">
        <f t="shared" ref="F124:F153" si="6">"05"</f>
        <v>05</v>
      </c>
      <c r="G124" s="7" t="str">
        <f>"01"</f>
        <v>01</v>
      </c>
      <c r="H124" s="7" t="s">
        <v>45</v>
      </c>
      <c r="I124" s="7" t="s">
        <v>14</v>
      </c>
      <c r="J124" s="9"/>
    </row>
    <row r="125" ht="14.25" spans="1:10">
      <c r="A125" s="7" t="s">
        <v>59</v>
      </c>
      <c r="B125" s="7" t="s">
        <v>137</v>
      </c>
      <c r="C125" s="7" t="str">
        <f t="shared" si="4"/>
        <v>女</v>
      </c>
      <c r="D125" s="7" t="str">
        <f>"372929199611013344"</f>
        <v>372929199611013344</v>
      </c>
      <c r="E125" s="8" t="str">
        <f>"10960020502"</f>
        <v>10960020502</v>
      </c>
      <c r="F125" s="7" t="str">
        <f t="shared" si="6"/>
        <v>05</v>
      </c>
      <c r="G125" s="7" t="str">
        <f>"02"</f>
        <v>02</v>
      </c>
      <c r="H125" s="7" t="s">
        <v>45</v>
      </c>
      <c r="I125" s="7" t="s">
        <v>14</v>
      </c>
      <c r="J125" s="9"/>
    </row>
    <row r="126" ht="14.25" spans="1:10">
      <c r="A126" s="7" t="s">
        <v>59</v>
      </c>
      <c r="B126" s="7" t="s">
        <v>138</v>
      </c>
      <c r="C126" s="7" t="str">
        <f t="shared" si="4"/>
        <v>男</v>
      </c>
      <c r="D126" s="7" t="str">
        <f>"411325199403093515"</f>
        <v>411325199403093515</v>
      </c>
      <c r="E126" s="8" t="str">
        <f>"10960020503"</f>
        <v>10960020503</v>
      </c>
      <c r="F126" s="7" t="str">
        <f t="shared" si="6"/>
        <v>05</v>
      </c>
      <c r="G126" s="7" t="str">
        <f>"03"</f>
        <v>03</v>
      </c>
      <c r="H126" s="7" t="s">
        <v>45</v>
      </c>
      <c r="I126" s="7" t="s">
        <v>14</v>
      </c>
      <c r="J126" s="9"/>
    </row>
    <row r="127" ht="14.25" spans="1:10">
      <c r="A127" s="7" t="s">
        <v>59</v>
      </c>
      <c r="B127" s="7" t="s">
        <v>139</v>
      </c>
      <c r="C127" s="7" t="str">
        <f t="shared" si="4"/>
        <v>男</v>
      </c>
      <c r="D127" s="7" t="str">
        <f>"411302199708111337"</f>
        <v>411302199708111337</v>
      </c>
      <c r="E127" s="8" t="str">
        <f>"10960020504"</f>
        <v>10960020504</v>
      </c>
      <c r="F127" s="7" t="str">
        <f t="shared" si="6"/>
        <v>05</v>
      </c>
      <c r="G127" s="7" t="str">
        <f>"04"</f>
        <v>04</v>
      </c>
      <c r="H127" s="7" t="s">
        <v>45</v>
      </c>
      <c r="I127" s="7">
        <v>63.5</v>
      </c>
      <c r="J127" s="9"/>
    </row>
    <row r="128" ht="14.25" spans="1:10">
      <c r="A128" s="7" t="s">
        <v>59</v>
      </c>
      <c r="B128" s="7" t="s">
        <v>140</v>
      </c>
      <c r="C128" s="7" t="str">
        <f t="shared" si="4"/>
        <v>男</v>
      </c>
      <c r="D128" s="7" t="str">
        <f>"411327199311290039"</f>
        <v>411327199311290039</v>
      </c>
      <c r="E128" s="8" t="str">
        <f>"10960020505"</f>
        <v>10960020505</v>
      </c>
      <c r="F128" s="7" t="str">
        <f t="shared" si="6"/>
        <v>05</v>
      </c>
      <c r="G128" s="7" t="str">
        <f>"05"</f>
        <v>05</v>
      </c>
      <c r="H128" s="7" t="s">
        <v>45</v>
      </c>
      <c r="I128" s="7" t="s">
        <v>14</v>
      </c>
      <c r="J128" s="9"/>
    </row>
    <row r="129" ht="14.25" spans="1:10">
      <c r="A129" s="7" t="s">
        <v>59</v>
      </c>
      <c r="B129" s="7" t="s">
        <v>141</v>
      </c>
      <c r="C129" s="7" t="str">
        <f t="shared" si="4"/>
        <v>男</v>
      </c>
      <c r="D129" s="7" t="str">
        <f>"411327199510061116"</f>
        <v>411327199510061116</v>
      </c>
      <c r="E129" s="8" t="str">
        <f>"10960020506"</f>
        <v>10960020506</v>
      </c>
      <c r="F129" s="7" t="str">
        <f t="shared" si="6"/>
        <v>05</v>
      </c>
      <c r="G129" s="7" t="str">
        <f>"06"</f>
        <v>06</v>
      </c>
      <c r="H129" s="7" t="s">
        <v>45</v>
      </c>
      <c r="I129" s="7">
        <v>63.9</v>
      </c>
      <c r="J129" s="9"/>
    </row>
    <row r="130" ht="14.25" spans="1:10">
      <c r="A130" s="7" t="s">
        <v>59</v>
      </c>
      <c r="B130" s="7" t="s">
        <v>142</v>
      </c>
      <c r="C130" s="7" t="str">
        <f t="shared" si="4"/>
        <v>男</v>
      </c>
      <c r="D130" s="7" t="str">
        <f>"411329199605300311"</f>
        <v>411329199605300311</v>
      </c>
      <c r="E130" s="8" t="str">
        <f>"10960020507"</f>
        <v>10960020507</v>
      </c>
      <c r="F130" s="7" t="str">
        <f t="shared" si="6"/>
        <v>05</v>
      </c>
      <c r="G130" s="7" t="str">
        <f>"07"</f>
        <v>07</v>
      </c>
      <c r="H130" s="7" t="s">
        <v>45</v>
      </c>
      <c r="I130" s="7" t="s">
        <v>14</v>
      </c>
      <c r="J130" s="9"/>
    </row>
    <row r="131" ht="14.25" spans="1:10">
      <c r="A131" s="7" t="s">
        <v>59</v>
      </c>
      <c r="B131" s="7" t="s">
        <v>143</v>
      </c>
      <c r="C131" s="7" t="str">
        <f t="shared" si="4"/>
        <v>女</v>
      </c>
      <c r="D131" s="7" t="str">
        <f>"411321199511203923"</f>
        <v>411321199511203923</v>
      </c>
      <c r="E131" s="8" t="str">
        <f>"10960020508"</f>
        <v>10960020508</v>
      </c>
      <c r="F131" s="7" t="str">
        <f t="shared" si="6"/>
        <v>05</v>
      </c>
      <c r="G131" s="7" t="str">
        <f>"08"</f>
        <v>08</v>
      </c>
      <c r="H131" s="7" t="s">
        <v>45</v>
      </c>
      <c r="I131" s="7" t="s">
        <v>14</v>
      </c>
      <c r="J131" s="9"/>
    </row>
    <row r="132" ht="14.25" spans="1:10">
      <c r="A132" s="7" t="s">
        <v>59</v>
      </c>
      <c r="B132" s="7" t="s">
        <v>144</v>
      </c>
      <c r="C132" s="7" t="str">
        <f t="shared" ref="C132:C195" si="7">IF(MOD(MID(D132,17,1),2),"男","女")</f>
        <v>女</v>
      </c>
      <c r="D132" s="7" t="str">
        <f>"411303199608260526"</f>
        <v>411303199608260526</v>
      </c>
      <c r="E132" s="8" t="str">
        <f>"10960020509"</f>
        <v>10960020509</v>
      </c>
      <c r="F132" s="7" t="str">
        <f t="shared" si="6"/>
        <v>05</v>
      </c>
      <c r="G132" s="7" t="str">
        <f>"09"</f>
        <v>09</v>
      </c>
      <c r="H132" s="7" t="s">
        <v>45</v>
      </c>
      <c r="I132" s="7">
        <v>54.2</v>
      </c>
      <c r="J132" s="9"/>
    </row>
    <row r="133" ht="14.25" spans="1:10">
      <c r="A133" s="7" t="s">
        <v>59</v>
      </c>
      <c r="B133" s="7" t="s">
        <v>145</v>
      </c>
      <c r="C133" s="7" t="str">
        <f t="shared" si="7"/>
        <v>男</v>
      </c>
      <c r="D133" s="7" t="str">
        <f>"411303199703171513"</f>
        <v>411303199703171513</v>
      </c>
      <c r="E133" s="8" t="str">
        <f>"10960020510"</f>
        <v>10960020510</v>
      </c>
      <c r="F133" s="7" t="str">
        <f t="shared" si="6"/>
        <v>05</v>
      </c>
      <c r="G133" s="7" t="str">
        <f>"10"</f>
        <v>10</v>
      </c>
      <c r="H133" s="7" t="s">
        <v>45</v>
      </c>
      <c r="I133" s="7">
        <v>70.5</v>
      </c>
      <c r="J133" s="9"/>
    </row>
    <row r="134" ht="14.25" spans="1:10">
      <c r="A134" s="7" t="s">
        <v>146</v>
      </c>
      <c r="B134" s="7" t="s">
        <v>147</v>
      </c>
      <c r="C134" s="7" t="str">
        <f t="shared" si="7"/>
        <v>女</v>
      </c>
      <c r="D134" s="7" t="str">
        <f>"411325199709190027"</f>
        <v>411325199709190027</v>
      </c>
      <c r="E134" s="8" t="str">
        <f>"10960040511"</f>
        <v>10960040511</v>
      </c>
      <c r="F134" s="7" t="str">
        <f t="shared" si="6"/>
        <v>05</v>
      </c>
      <c r="G134" s="7" t="str">
        <f>"11"</f>
        <v>11</v>
      </c>
      <c r="H134" s="7" t="s">
        <v>13</v>
      </c>
      <c r="I134" s="7">
        <v>76.5</v>
      </c>
      <c r="J134" s="9"/>
    </row>
    <row r="135" ht="14.25" spans="1:10">
      <c r="A135" s="7" t="s">
        <v>146</v>
      </c>
      <c r="B135" s="7" t="s">
        <v>148</v>
      </c>
      <c r="C135" s="7" t="str">
        <f t="shared" si="7"/>
        <v>女</v>
      </c>
      <c r="D135" s="7" t="str">
        <f>"411325199603254520"</f>
        <v>411325199603254520</v>
      </c>
      <c r="E135" s="8" t="str">
        <f>"10960040512"</f>
        <v>10960040512</v>
      </c>
      <c r="F135" s="7" t="str">
        <f t="shared" si="6"/>
        <v>05</v>
      </c>
      <c r="G135" s="7" t="str">
        <f>"12"</f>
        <v>12</v>
      </c>
      <c r="H135" s="7" t="s">
        <v>13</v>
      </c>
      <c r="I135" s="7">
        <v>49.3</v>
      </c>
      <c r="J135" s="9"/>
    </row>
    <row r="136" ht="14.25" spans="1:10">
      <c r="A136" s="7" t="s">
        <v>146</v>
      </c>
      <c r="B136" s="7" t="s">
        <v>149</v>
      </c>
      <c r="C136" s="7" t="str">
        <f t="shared" si="7"/>
        <v>男</v>
      </c>
      <c r="D136" s="7" t="str">
        <f>"411325199508130431"</f>
        <v>411325199508130431</v>
      </c>
      <c r="E136" s="8" t="str">
        <f>"10960040513"</f>
        <v>10960040513</v>
      </c>
      <c r="F136" s="7" t="str">
        <f t="shared" si="6"/>
        <v>05</v>
      </c>
      <c r="G136" s="7" t="str">
        <f>"13"</f>
        <v>13</v>
      </c>
      <c r="H136" s="7" t="s">
        <v>13</v>
      </c>
      <c r="I136" s="7">
        <v>70.1</v>
      </c>
      <c r="J136" s="9"/>
    </row>
    <row r="137" ht="14.25" spans="1:10">
      <c r="A137" s="7" t="s">
        <v>146</v>
      </c>
      <c r="B137" s="7" t="s">
        <v>150</v>
      </c>
      <c r="C137" s="7" t="str">
        <f t="shared" si="7"/>
        <v>男</v>
      </c>
      <c r="D137" s="7" t="str">
        <f>"411325199207210411"</f>
        <v>411325199207210411</v>
      </c>
      <c r="E137" s="8" t="str">
        <f>"10960040514"</f>
        <v>10960040514</v>
      </c>
      <c r="F137" s="7" t="str">
        <f t="shared" si="6"/>
        <v>05</v>
      </c>
      <c r="G137" s="7" t="str">
        <f>"14"</f>
        <v>14</v>
      </c>
      <c r="H137" s="7" t="s">
        <v>13</v>
      </c>
      <c r="I137" s="7">
        <v>64.7</v>
      </c>
      <c r="J137" s="9"/>
    </row>
    <row r="138" ht="14.25" spans="1:10">
      <c r="A138" s="7" t="s">
        <v>146</v>
      </c>
      <c r="B138" s="7" t="s">
        <v>151</v>
      </c>
      <c r="C138" s="7" t="str">
        <f t="shared" si="7"/>
        <v>女</v>
      </c>
      <c r="D138" s="7" t="str">
        <f>"411329199707103124"</f>
        <v>411329199707103124</v>
      </c>
      <c r="E138" s="8" t="str">
        <f>"10960040515"</f>
        <v>10960040515</v>
      </c>
      <c r="F138" s="7" t="str">
        <f t="shared" si="6"/>
        <v>05</v>
      </c>
      <c r="G138" s="7" t="str">
        <f>"15"</f>
        <v>15</v>
      </c>
      <c r="H138" s="7" t="s">
        <v>13</v>
      </c>
      <c r="I138" s="7">
        <v>57.3</v>
      </c>
      <c r="J138" s="9"/>
    </row>
    <row r="139" ht="14.25" spans="1:10">
      <c r="A139" s="7" t="s">
        <v>146</v>
      </c>
      <c r="B139" s="7" t="s">
        <v>152</v>
      </c>
      <c r="C139" s="7" t="str">
        <f t="shared" si="7"/>
        <v>女</v>
      </c>
      <c r="D139" s="7" t="str">
        <f>"411325199708240424"</f>
        <v>411325199708240424</v>
      </c>
      <c r="E139" s="8" t="str">
        <f>"10960040516"</f>
        <v>10960040516</v>
      </c>
      <c r="F139" s="7" t="str">
        <f t="shared" si="6"/>
        <v>05</v>
      </c>
      <c r="G139" s="7" t="str">
        <f>"16"</f>
        <v>16</v>
      </c>
      <c r="H139" s="7" t="s">
        <v>13</v>
      </c>
      <c r="I139" s="7">
        <v>73.3</v>
      </c>
      <c r="J139" s="9"/>
    </row>
    <row r="140" ht="14.25" spans="1:10">
      <c r="A140" s="7" t="s">
        <v>146</v>
      </c>
      <c r="B140" s="7" t="s">
        <v>153</v>
      </c>
      <c r="C140" s="7" t="str">
        <f t="shared" si="7"/>
        <v>女</v>
      </c>
      <c r="D140" s="7" t="str">
        <f>"411325199603202923"</f>
        <v>411325199603202923</v>
      </c>
      <c r="E140" s="8" t="str">
        <f>"10960040517"</f>
        <v>10960040517</v>
      </c>
      <c r="F140" s="7" t="str">
        <f t="shared" si="6"/>
        <v>05</v>
      </c>
      <c r="G140" s="7" t="str">
        <f>"17"</f>
        <v>17</v>
      </c>
      <c r="H140" s="7" t="s">
        <v>13</v>
      </c>
      <c r="I140" s="7">
        <v>65.9</v>
      </c>
      <c r="J140" s="9"/>
    </row>
    <row r="141" ht="14.25" spans="1:10">
      <c r="A141" s="7" t="s">
        <v>146</v>
      </c>
      <c r="B141" s="7" t="s">
        <v>154</v>
      </c>
      <c r="C141" s="7" t="str">
        <f t="shared" si="7"/>
        <v>女</v>
      </c>
      <c r="D141" s="7" t="str">
        <f>"411303199207092429"</f>
        <v>411303199207092429</v>
      </c>
      <c r="E141" s="8" t="str">
        <f>"10960040518"</f>
        <v>10960040518</v>
      </c>
      <c r="F141" s="7" t="str">
        <f t="shared" si="6"/>
        <v>05</v>
      </c>
      <c r="G141" s="7" t="str">
        <f>"18"</f>
        <v>18</v>
      </c>
      <c r="H141" s="7" t="s">
        <v>13</v>
      </c>
      <c r="I141" s="7" t="s">
        <v>14</v>
      </c>
      <c r="J141" s="9"/>
    </row>
    <row r="142" ht="14.25" spans="1:10">
      <c r="A142" s="7" t="s">
        <v>146</v>
      </c>
      <c r="B142" s="7" t="s">
        <v>155</v>
      </c>
      <c r="C142" s="7" t="str">
        <f t="shared" si="7"/>
        <v>女</v>
      </c>
      <c r="D142" s="7" t="str">
        <f>"411303199506262424"</f>
        <v>411303199506262424</v>
      </c>
      <c r="E142" s="8" t="str">
        <f>"10960040519"</f>
        <v>10960040519</v>
      </c>
      <c r="F142" s="7" t="str">
        <f t="shared" si="6"/>
        <v>05</v>
      </c>
      <c r="G142" s="7" t="str">
        <f>"19"</f>
        <v>19</v>
      </c>
      <c r="H142" s="7" t="s">
        <v>13</v>
      </c>
      <c r="I142" s="7" t="s">
        <v>14</v>
      </c>
      <c r="J142" s="9"/>
    </row>
    <row r="143" ht="14.25" spans="1:10">
      <c r="A143" s="7" t="s">
        <v>146</v>
      </c>
      <c r="B143" s="7" t="s">
        <v>156</v>
      </c>
      <c r="C143" s="7" t="str">
        <f t="shared" si="7"/>
        <v>女</v>
      </c>
      <c r="D143" s="7" t="str">
        <f>"411323199508024425"</f>
        <v>411323199508024425</v>
      </c>
      <c r="E143" s="8" t="str">
        <f>"10960040520"</f>
        <v>10960040520</v>
      </c>
      <c r="F143" s="7" t="str">
        <f t="shared" si="6"/>
        <v>05</v>
      </c>
      <c r="G143" s="7" t="str">
        <f>"20"</f>
        <v>20</v>
      </c>
      <c r="H143" s="7" t="s">
        <v>13</v>
      </c>
      <c r="I143" s="7" t="s">
        <v>14</v>
      </c>
      <c r="J143" s="9"/>
    </row>
    <row r="144" ht="14.25" spans="1:10">
      <c r="A144" s="7" t="s">
        <v>146</v>
      </c>
      <c r="B144" s="7" t="s">
        <v>157</v>
      </c>
      <c r="C144" s="7" t="str">
        <f t="shared" si="7"/>
        <v>男</v>
      </c>
      <c r="D144" s="7" t="str">
        <f>"411328199609024135"</f>
        <v>411328199609024135</v>
      </c>
      <c r="E144" s="8" t="str">
        <f>"10960040521"</f>
        <v>10960040521</v>
      </c>
      <c r="F144" s="7" t="str">
        <f t="shared" si="6"/>
        <v>05</v>
      </c>
      <c r="G144" s="7" t="str">
        <f>"21"</f>
        <v>21</v>
      </c>
      <c r="H144" s="7" t="s">
        <v>13</v>
      </c>
      <c r="I144" s="7" t="s">
        <v>14</v>
      </c>
      <c r="J144" s="9"/>
    </row>
    <row r="145" ht="14.25" spans="1:10">
      <c r="A145" s="7" t="s">
        <v>146</v>
      </c>
      <c r="B145" s="7" t="s">
        <v>158</v>
      </c>
      <c r="C145" s="7" t="str">
        <f t="shared" si="7"/>
        <v>男</v>
      </c>
      <c r="D145" s="7" t="str">
        <f>"411302199608145716"</f>
        <v>411302199608145716</v>
      </c>
      <c r="E145" s="8" t="str">
        <f>"10960040522"</f>
        <v>10960040522</v>
      </c>
      <c r="F145" s="7" t="str">
        <f t="shared" si="6"/>
        <v>05</v>
      </c>
      <c r="G145" s="7" t="str">
        <f>"22"</f>
        <v>22</v>
      </c>
      <c r="H145" s="7" t="s">
        <v>13</v>
      </c>
      <c r="I145" s="7">
        <v>58.9</v>
      </c>
      <c r="J145" s="9"/>
    </row>
    <row r="146" ht="14.25" spans="1:10">
      <c r="A146" s="7" t="s">
        <v>146</v>
      </c>
      <c r="B146" s="7" t="s">
        <v>159</v>
      </c>
      <c r="C146" s="7" t="str">
        <f t="shared" si="7"/>
        <v>女</v>
      </c>
      <c r="D146" s="7" t="str">
        <f>"411321199905293327"</f>
        <v>411321199905293327</v>
      </c>
      <c r="E146" s="8" t="str">
        <f>"10960040523"</f>
        <v>10960040523</v>
      </c>
      <c r="F146" s="7" t="str">
        <f t="shared" si="6"/>
        <v>05</v>
      </c>
      <c r="G146" s="7" t="str">
        <f>"23"</f>
        <v>23</v>
      </c>
      <c r="H146" s="7" t="s">
        <v>13</v>
      </c>
      <c r="I146" s="7">
        <v>63.3</v>
      </c>
      <c r="J146" s="9"/>
    </row>
    <row r="147" ht="14.25" spans="1:10">
      <c r="A147" s="7" t="s">
        <v>146</v>
      </c>
      <c r="B147" s="7" t="s">
        <v>160</v>
      </c>
      <c r="C147" s="7" t="str">
        <f t="shared" si="7"/>
        <v>男</v>
      </c>
      <c r="D147" s="7" t="str">
        <f>"411325199212158291"</f>
        <v>411325199212158291</v>
      </c>
      <c r="E147" s="8" t="str">
        <f>"10960040524"</f>
        <v>10960040524</v>
      </c>
      <c r="F147" s="7" t="str">
        <f t="shared" si="6"/>
        <v>05</v>
      </c>
      <c r="G147" s="7" t="str">
        <f>"24"</f>
        <v>24</v>
      </c>
      <c r="H147" s="7" t="s">
        <v>13</v>
      </c>
      <c r="I147" s="7">
        <v>64.6</v>
      </c>
      <c r="J147" s="9"/>
    </row>
    <row r="148" ht="14.25" spans="1:10">
      <c r="A148" s="7" t="s">
        <v>146</v>
      </c>
      <c r="B148" s="7" t="s">
        <v>161</v>
      </c>
      <c r="C148" s="7" t="str">
        <f t="shared" si="7"/>
        <v>男</v>
      </c>
      <c r="D148" s="7" t="str">
        <f>"411302199311020015"</f>
        <v>411302199311020015</v>
      </c>
      <c r="E148" s="8" t="str">
        <f>"10960040525"</f>
        <v>10960040525</v>
      </c>
      <c r="F148" s="7" t="str">
        <f t="shared" si="6"/>
        <v>05</v>
      </c>
      <c r="G148" s="7" t="str">
        <f>"25"</f>
        <v>25</v>
      </c>
      <c r="H148" s="7" t="s">
        <v>13</v>
      </c>
      <c r="I148" s="7" t="s">
        <v>14</v>
      </c>
      <c r="J148" s="9"/>
    </row>
    <row r="149" ht="14.25" spans="1:10">
      <c r="A149" s="7" t="s">
        <v>146</v>
      </c>
      <c r="B149" s="7" t="s">
        <v>162</v>
      </c>
      <c r="C149" s="7" t="str">
        <f t="shared" si="7"/>
        <v>女</v>
      </c>
      <c r="D149" s="7" t="str">
        <f>"411325199204010748"</f>
        <v>411325199204010748</v>
      </c>
      <c r="E149" s="8" t="str">
        <f>"10960040526"</f>
        <v>10960040526</v>
      </c>
      <c r="F149" s="7" t="str">
        <f t="shared" si="6"/>
        <v>05</v>
      </c>
      <c r="G149" s="7" t="str">
        <f>"26"</f>
        <v>26</v>
      </c>
      <c r="H149" s="7" t="s">
        <v>13</v>
      </c>
      <c r="I149" s="7" t="s">
        <v>14</v>
      </c>
      <c r="J149" s="9"/>
    </row>
    <row r="150" ht="14.25" spans="1:10">
      <c r="A150" s="7" t="s">
        <v>146</v>
      </c>
      <c r="B150" s="7" t="s">
        <v>163</v>
      </c>
      <c r="C150" s="7" t="str">
        <f t="shared" si="7"/>
        <v>女</v>
      </c>
      <c r="D150" s="7" t="str">
        <f>"411325199707140421"</f>
        <v>411325199707140421</v>
      </c>
      <c r="E150" s="8" t="str">
        <f>"10960040527"</f>
        <v>10960040527</v>
      </c>
      <c r="F150" s="7" t="str">
        <f t="shared" si="6"/>
        <v>05</v>
      </c>
      <c r="G150" s="7" t="str">
        <f>"27"</f>
        <v>27</v>
      </c>
      <c r="H150" s="7" t="s">
        <v>13</v>
      </c>
      <c r="I150" s="7">
        <v>59.4</v>
      </c>
      <c r="J150" s="9"/>
    </row>
    <row r="151" ht="14.25" spans="1:10">
      <c r="A151" s="7" t="s">
        <v>146</v>
      </c>
      <c r="B151" s="7" t="s">
        <v>164</v>
      </c>
      <c r="C151" s="7" t="str">
        <f t="shared" si="7"/>
        <v>男</v>
      </c>
      <c r="D151" s="7" t="str">
        <f>"411302199711121819"</f>
        <v>411302199711121819</v>
      </c>
      <c r="E151" s="8" t="str">
        <f>"10960040528"</f>
        <v>10960040528</v>
      </c>
      <c r="F151" s="7" t="str">
        <f t="shared" si="6"/>
        <v>05</v>
      </c>
      <c r="G151" s="7" t="str">
        <f>"28"</f>
        <v>28</v>
      </c>
      <c r="H151" s="7" t="s">
        <v>13</v>
      </c>
      <c r="I151" s="7" t="s">
        <v>14</v>
      </c>
      <c r="J151" s="9"/>
    </row>
    <row r="152" ht="14.25" spans="1:10">
      <c r="A152" s="7" t="s">
        <v>146</v>
      </c>
      <c r="B152" s="7" t="s">
        <v>165</v>
      </c>
      <c r="C152" s="7" t="str">
        <f t="shared" si="7"/>
        <v>男</v>
      </c>
      <c r="D152" s="7" t="str">
        <f>"411321199612260011"</f>
        <v>411321199612260011</v>
      </c>
      <c r="E152" s="8" t="str">
        <f>"10960040529"</f>
        <v>10960040529</v>
      </c>
      <c r="F152" s="7" t="str">
        <f t="shared" si="6"/>
        <v>05</v>
      </c>
      <c r="G152" s="7" t="str">
        <f>"29"</f>
        <v>29</v>
      </c>
      <c r="H152" s="7" t="s">
        <v>13</v>
      </c>
      <c r="I152" s="7">
        <v>77.3</v>
      </c>
      <c r="J152" s="9"/>
    </row>
    <row r="153" ht="14.25" spans="1:10">
      <c r="A153" s="7" t="s">
        <v>146</v>
      </c>
      <c r="B153" s="7" t="s">
        <v>166</v>
      </c>
      <c r="C153" s="7" t="str">
        <f t="shared" si="7"/>
        <v>女</v>
      </c>
      <c r="D153" s="7" t="str">
        <f>"411328199804307843"</f>
        <v>411328199804307843</v>
      </c>
      <c r="E153" s="8" t="str">
        <f>"10960040530"</f>
        <v>10960040530</v>
      </c>
      <c r="F153" s="7" t="str">
        <f t="shared" si="6"/>
        <v>05</v>
      </c>
      <c r="G153" s="7" t="str">
        <f>"30"</f>
        <v>30</v>
      </c>
      <c r="H153" s="7" t="s">
        <v>13</v>
      </c>
      <c r="I153" s="7" t="s">
        <v>14</v>
      </c>
      <c r="J153" s="9"/>
    </row>
    <row r="154" ht="14.25" spans="1:10">
      <c r="A154" s="7" t="s">
        <v>146</v>
      </c>
      <c r="B154" s="7" t="s">
        <v>167</v>
      </c>
      <c r="C154" s="7" t="str">
        <f t="shared" si="7"/>
        <v>女</v>
      </c>
      <c r="D154" s="7" t="str">
        <f>"411325199301171324"</f>
        <v>411325199301171324</v>
      </c>
      <c r="E154" s="8" t="str">
        <f>"10960040601"</f>
        <v>10960040601</v>
      </c>
      <c r="F154" s="7" t="str">
        <f t="shared" ref="F154:F183" si="8">"06"</f>
        <v>06</v>
      </c>
      <c r="G154" s="7" t="str">
        <f>"01"</f>
        <v>01</v>
      </c>
      <c r="H154" s="7" t="s">
        <v>13</v>
      </c>
      <c r="I154" s="7">
        <v>73</v>
      </c>
      <c r="J154" s="9"/>
    </row>
    <row r="155" ht="14.25" spans="1:10">
      <c r="A155" s="7" t="s">
        <v>146</v>
      </c>
      <c r="B155" s="7" t="s">
        <v>168</v>
      </c>
      <c r="C155" s="7" t="str">
        <f t="shared" si="7"/>
        <v>女</v>
      </c>
      <c r="D155" s="7" t="str">
        <f>"411325199809100420"</f>
        <v>411325199809100420</v>
      </c>
      <c r="E155" s="8" t="str">
        <f>"10960040602"</f>
        <v>10960040602</v>
      </c>
      <c r="F155" s="7" t="str">
        <f t="shared" si="8"/>
        <v>06</v>
      </c>
      <c r="G155" s="7" t="str">
        <f>"02"</f>
        <v>02</v>
      </c>
      <c r="H155" s="7" t="s">
        <v>13</v>
      </c>
      <c r="I155" s="7" t="s">
        <v>14</v>
      </c>
      <c r="J155" s="9"/>
    </row>
    <row r="156" ht="14.25" spans="1:10">
      <c r="A156" s="7" t="s">
        <v>146</v>
      </c>
      <c r="B156" s="7" t="s">
        <v>169</v>
      </c>
      <c r="C156" s="7" t="str">
        <f t="shared" si="7"/>
        <v>男</v>
      </c>
      <c r="D156" s="7" t="str">
        <f>"411325199709280014"</f>
        <v>411325199709280014</v>
      </c>
      <c r="E156" s="8" t="str">
        <f>"10960040603"</f>
        <v>10960040603</v>
      </c>
      <c r="F156" s="7" t="str">
        <f t="shared" si="8"/>
        <v>06</v>
      </c>
      <c r="G156" s="7" t="str">
        <f>"03"</f>
        <v>03</v>
      </c>
      <c r="H156" s="7" t="s">
        <v>13</v>
      </c>
      <c r="I156" s="7">
        <v>79.2</v>
      </c>
      <c r="J156" s="9"/>
    </row>
    <row r="157" ht="14.25" spans="1:10">
      <c r="A157" s="7" t="s">
        <v>146</v>
      </c>
      <c r="B157" s="7" t="s">
        <v>170</v>
      </c>
      <c r="C157" s="7" t="str">
        <f t="shared" si="7"/>
        <v>男</v>
      </c>
      <c r="D157" s="7" t="str">
        <f>"411325199403010011"</f>
        <v>411325199403010011</v>
      </c>
      <c r="E157" s="8" t="str">
        <f>"10960040604"</f>
        <v>10960040604</v>
      </c>
      <c r="F157" s="7" t="str">
        <f t="shared" si="8"/>
        <v>06</v>
      </c>
      <c r="G157" s="7" t="str">
        <f>"04"</f>
        <v>04</v>
      </c>
      <c r="H157" s="7" t="s">
        <v>13</v>
      </c>
      <c r="I157" s="7" t="s">
        <v>14</v>
      </c>
      <c r="J157" s="9"/>
    </row>
    <row r="158" ht="14.25" spans="1:10">
      <c r="A158" s="7" t="s">
        <v>146</v>
      </c>
      <c r="B158" s="7" t="s">
        <v>171</v>
      </c>
      <c r="C158" s="7" t="str">
        <f t="shared" si="7"/>
        <v>男</v>
      </c>
      <c r="D158" s="7" t="str">
        <f>"411325199601190412"</f>
        <v>411325199601190412</v>
      </c>
      <c r="E158" s="8" t="str">
        <f>"10960040605"</f>
        <v>10960040605</v>
      </c>
      <c r="F158" s="7" t="str">
        <f t="shared" si="8"/>
        <v>06</v>
      </c>
      <c r="G158" s="7" t="str">
        <f>"05"</f>
        <v>05</v>
      </c>
      <c r="H158" s="7" t="s">
        <v>13</v>
      </c>
      <c r="I158" s="7">
        <v>60.6</v>
      </c>
      <c r="J158" s="9"/>
    </row>
    <row r="159" ht="14.25" spans="1:10">
      <c r="A159" s="7" t="s">
        <v>146</v>
      </c>
      <c r="B159" s="7" t="s">
        <v>172</v>
      </c>
      <c r="C159" s="7" t="str">
        <f t="shared" si="7"/>
        <v>女</v>
      </c>
      <c r="D159" s="7" t="str">
        <f>"411326199711142442"</f>
        <v>411326199711142442</v>
      </c>
      <c r="E159" s="8" t="str">
        <f>"10960040606"</f>
        <v>10960040606</v>
      </c>
      <c r="F159" s="7" t="str">
        <f t="shared" si="8"/>
        <v>06</v>
      </c>
      <c r="G159" s="7" t="str">
        <f>"06"</f>
        <v>06</v>
      </c>
      <c r="H159" s="7" t="s">
        <v>13</v>
      </c>
      <c r="I159" s="7">
        <v>58.9</v>
      </c>
      <c r="J159" s="9"/>
    </row>
    <row r="160" ht="14.25" spans="1:10">
      <c r="A160" s="7" t="s">
        <v>146</v>
      </c>
      <c r="B160" s="7" t="s">
        <v>173</v>
      </c>
      <c r="C160" s="7" t="str">
        <f t="shared" si="7"/>
        <v>女</v>
      </c>
      <c r="D160" s="7" t="str">
        <f>"411381199510153967"</f>
        <v>411381199510153967</v>
      </c>
      <c r="E160" s="8" t="str">
        <f>"10960040607"</f>
        <v>10960040607</v>
      </c>
      <c r="F160" s="7" t="str">
        <f t="shared" si="8"/>
        <v>06</v>
      </c>
      <c r="G160" s="7" t="str">
        <f>"07"</f>
        <v>07</v>
      </c>
      <c r="H160" s="7" t="s">
        <v>13</v>
      </c>
      <c r="I160" s="7">
        <v>61.7</v>
      </c>
      <c r="J160" s="9"/>
    </row>
    <row r="161" ht="14.25" spans="1:10">
      <c r="A161" s="7" t="s">
        <v>146</v>
      </c>
      <c r="B161" s="7" t="s">
        <v>174</v>
      </c>
      <c r="C161" s="7" t="str">
        <f t="shared" si="7"/>
        <v>女</v>
      </c>
      <c r="D161" s="7" t="str">
        <f>"411325199606208669"</f>
        <v>411325199606208669</v>
      </c>
      <c r="E161" s="8" t="str">
        <f>"10960040608"</f>
        <v>10960040608</v>
      </c>
      <c r="F161" s="7" t="str">
        <f t="shared" si="8"/>
        <v>06</v>
      </c>
      <c r="G161" s="7" t="str">
        <f>"08"</f>
        <v>08</v>
      </c>
      <c r="H161" s="7" t="s">
        <v>13</v>
      </c>
      <c r="I161" s="7" t="s">
        <v>14</v>
      </c>
      <c r="J161" s="9"/>
    </row>
    <row r="162" ht="14.25" spans="1:10">
      <c r="A162" s="7" t="s">
        <v>146</v>
      </c>
      <c r="B162" s="7" t="s">
        <v>175</v>
      </c>
      <c r="C162" s="7" t="str">
        <f t="shared" si="7"/>
        <v>女</v>
      </c>
      <c r="D162" s="7" t="str">
        <f>"411325199103065045"</f>
        <v>411325199103065045</v>
      </c>
      <c r="E162" s="8" t="str">
        <f>"10960040609"</f>
        <v>10960040609</v>
      </c>
      <c r="F162" s="7" t="str">
        <f t="shared" si="8"/>
        <v>06</v>
      </c>
      <c r="G162" s="7" t="str">
        <f>"09"</f>
        <v>09</v>
      </c>
      <c r="H162" s="7" t="s">
        <v>13</v>
      </c>
      <c r="I162" s="7">
        <v>75.9</v>
      </c>
      <c r="J162" s="9"/>
    </row>
    <row r="163" ht="14.25" spans="1:10">
      <c r="A163" s="7" t="s">
        <v>146</v>
      </c>
      <c r="B163" s="7" t="s">
        <v>176</v>
      </c>
      <c r="C163" s="7" t="str">
        <f t="shared" si="7"/>
        <v>女</v>
      </c>
      <c r="D163" s="7" t="str">
        <f>"411325199607110428"</f>
        <v>411325199607110428</v>
      </c>
      <c r="E163" s="8" t="str">
        <f>"10960040610"</f>
        <v>10960040610</v>
      </c>
      <c r="F163" s="7" t="str">
        <f t="shared" si="8"/>
        <v>06</v>
      </c>
      <c r="G163" s="7" t="str">
        <f>"10"</f>
        <v>10</v>
      </c>
      <c r="H163" s="7" t="s">
        <v>13</v>
      </c>
      <c r="I163" s="7">
        <v>63</v>
      </c>
      <c r="J163" s="9"/>
    </row>
    <row r="164" ht="14.25" spans="1:10">
      <c r="A164" s="7" t="s">
        <v>146</v>
      </c>
      <c r="B164" s="7" t="s">
        <v>177</v>
      </c>
      <c r="C164" s="7" t="str">
        <f t="shared" si="7"/>
        <v>女</v>
      </c>
      <c r="D164" s="7" t="str">
        <f>"411303199605222428"</f>
        <v>411303199605222428</v>
      </c>
      <c r="E164" s="8" t="str">
        <f>"10960040611"</f>
        <v>10960040611</v>
      </c>
      <c r="F164" s="7" t="str">
        <f t="shared" si="8"/>
        <v>06</v>
      </c>
      <c r="G164" s="7" t="str">
        <f>"11"</f>
        <v>11</v>
      </c>
      <c r="H164" s="7" t="s">
        <v>13</v>
      </c>
      <c r="I164" s="7" t="s">
        <v>14</v>
      </c>
      <c r="J164" s="9"/>
    </row>
    <row r="165" ht="14.25" spans="1:10">
      <c r="A165" s="7" t="s">
        <v>146</v>
      </c>
      <c r="B165" s="7" t="s">
        <v>178</v>
      </c>
      <c r="C165" s="7" t="str">
        <f t="shared" si="7"/>
        <v>女</v>
      </c>
      <c r="D165" s="7" t="str">
        <f>"411303199205020026"</f>
        <v>411303199205020026</v>
      </c>
      <c r="E165" s="8" t="str">
        <f>"10960040612"</f>
        <v>10960040612</v>
      </c>
      <c r="F165" s="7" t="str">
        <f t="shared" si="8"/>
        <v>06</v>
      </c>
      <c r="G165" s="7" t="str">
        <f>"12"</f>
        <v>12</v>
      </c>
      <c r="H165" s="7" t="s">
        <v>13</v>
      </c>
      <c r="I165" s="7">
        <v>69.6</v>
      </c>
      <c r="J165" s="9"/>
    </row>
    <row r="166" ht="14.25" spans="1:10">
      <c r="A166" s="7" t="s">
        <v>146</v>
      </c>
      <c r="B166" s="7" t="s">
        <v>179</v>
      </c>
      <c r="C166" s="7" t="str">
        <f t="shared" si="7"/>
        <v>女</v>
      </c>
      <c r="D166" s="7" t="str">
        <f>"411328199701075525"</f>
        <v>411328199701075525</v>
      </c>
      <c r="E166" s="8" t="str">
        <f>"10960040613"</f>
        <v>10960040613</v>
      </c>
      <c r="F166" s="7" t="str">
        <f t="shared" si="8"/>
        <v>06</v>
      </c>
      <c r="G166" s="7" t="str">
        <f>"13"</f>
        <v>13</v>
      </c>
      <c r="H166" s="7" t="s">
        <v>13</v>
      </c>
      <c r="I166" s="7" t="s">
        <v>14</v>
      </c>
      <c r="J166" s="9"/>
    </row>
    <row r="167" ht="14.25" spans="1:10">
      <c r="A167" s="7" t="s">
        <v>146</v>
      </c>
      <c r="B167" s="7" t="s">
        <v>180</v>
      </c>
      <c r="C167" s="7" t="str">
        <f t="shared" si="7"/>
        <v>女</v>
      </c>
      <c r="D167" s="7" t="str">
        <f>"411325199612012347"</f>
        <v>411325199612012347</v>
      </c>
      <c r="E167" s="8" t="str">
        <f>"10960040614"</f>
        <v>10960040614</v>
      </c>
      <c r="F167" s="7" t="str">
        <f t="shared" si="8"/>
        <v>06</v>
      </c>
      <c r="G167" s="7" t="str">
        <f>"14"</f>
        <v>14</v>
      </c>
      <c r="H167" s="7" t="s">
        <v>13</v>
      </c>
      <c r="I167" s="7">
        <v>73.9</v>
      </c>
      <c r="J167" s="9"/>
    </row>
    <row r="168" ht="14.25" spans="1:10">
      <c r="A168" s="7" t="s">
        <v>146</v>
      </c>
      <c r="B168" s="7" t="s">
        <v>181</v>
      </c>
      <c r="C168" s="7" t="str">
        <f t="shared" si="7"/>
        <v>男</v>
      </c>
      <c r="D168" s="7" t="str">
        <f>"411321199709290030"</f>
        <v>411321199709290030</v>
      </c>
      <c r="E168" s="8" t="str">
        <f>"10960040615"</f>
        <v>10960040615</v>
      </c>
      <c r="F168" s="7" t="str">
        <f t="shared" si="8"/>
        <v>06</v>
      </c>
      <c r="G168" s="7" t="str">
        <f>"15"</f>
        <v>15</v>
      </c>
      <c r="H168" s="7" t="s">
        <v>13</v>
      </c>
      <c r="I168" s="7">
        <v>75.5</v>
      </c>
      <c r="J168" s="9"/>
    </row>
    <row r="169" ht="14.25" spans="1:10">
      <c r="A169" s="7" t="s">
        <v>146</v>
      </c>
      <c r="B169" s="7" t="s">
        <v>182</v>
      </c>
      <c r="C169" s="7" t="str">
        <f t="shared" si="7"/>
        <v>女</v>
      </c>
      <c r="D169" s="7" t="str">
        <f>"410324199712067540"</f>
        <v>410324199712067540</v>
      </c>
      <c r="E169" s="8" t="str">
        <f>"10960040616"</f>
        <v>10960040616</v>
      </c>
      <c r="F169" s="7" t="str">
        <f t="shared" si="8"/>
        <v>06</v>
      </c>
      <c r="G169" s="7" t="str">
        <f>"16"</f>
        <v>16</v>
      </c>
      <c r="H169" s="7" t="s">
        <v>13</v>
      </c>
      <c r="I169" s="7" t="s">
        <v>14</v>
      </c>
      <c r="J169" s="9"/>
    </row>
    <row r="170" ht="14.25" spans="1:10">
      <c r="A170" s="7" t="s">
        <v>146</v>
      </c>
      <c r="B170" s="7" t="s">
        <v>183</v>
      </c>
      <c r="C170" s="7" t="str">
        <f t="shared" si="7"/>
        <v>女</v>
      </c>
      <c r="D170" s="7" t="str">
        <f>"410326199512073324"</f>
        <v>410326199512073324</v>
      </c>
      <c r="E170" s="8" t="str">
        <f>"10960040617"</f>
        <v>10960040617</v>
      </c>
      <c r="F170" s="7" t="str">
        <f t="shared" si="8"/>
        <v>06</v>
      </c>
      <c r="G170" s="7" t="str">
        <f>"17"</f>
        <v>17</v>
      </c>
      <c r="H170" s="7" t="s">
        <v>13</v>
      </c>
      <c r="I170" s="7">
        <v>60</v>
      </c>
      <c r="J170" s="9"/>
    </row>
    <row r="171" ht="14.25" spans="1:10">
      <c r="A171" s="7" t="s">
        <v>146</v>
      </c>
      <c r="B171" s="7" t="s">
        <v>184</v>
      </c>
      <c r="C171" s="7" t="str">
        <f t="shared" si="7"/>
        <v>女</v>
      </c>
      <c r="D171" s="7" t="str">
        <f>"411328199705151329"</f>
        <v>411328199705151329</v>
      </c>
      <c r="E171" s="8" t="str">
        <f>"10960040618"</f>
        <v>10960040618</v>
      </c>
      <c r="F171" s="7" t="str">
        <f t="shared" si="8"/>
        <v>06</v>
      </c>
      <c r="G171" s="7" t="str">
        <f>"18"</f>
        <v>18</v>
      </c>
      <c r="H171" s="7" t="s">
        <v>13</v>
      </c>
      <c r="I171" s="7">
        <v>68.1</v>
      </c>
      <c r="J171" s="9"/>
    </row>
    <row r="172" ht="14.25" spans="1:10">
      <c r="A172" s="7" t="s">
        <v>146</v>
      </c>
      <c r="B172" s="7" t="s">
        <v>185</v>
      </c>
      <c r="C172" s="7" t="str">
        <f t="shared" si="7"/>
        <v>女</v>
      </c>
      <c r="D172" s="7" t="str">
        <f>"411325199803190429"</f>
        <v>411325199803190429</v>
      </c>
      <c r="E172" s="8" t="str">
        <f>"10960040619"</f>
        <v>10960040619</v>
      </c>
      <c r="F172" s="7" t="str">
        <f t="shared" si="8"/>
        <v>06</v>
      </c>
      <c r="G172" s="7" t="str">
        <f>"19"</f>
        <v>19</v>
      </c>
      <c r="H172" s="7" t="s">
        <v>13</v>
      </c>
      <c r="I172" s="7">
        <v>43.4</v>
      </c>
      <c r="J172" s="9"/>
    </row>
    <row r="173" ht="14.25" spans="1:10">
      <c r="A173" s="7" t="s">
        <v>146</v>
      </c>
      <c r="B173" s="7" t="s">
        <v>186</v>
      </c>
      <c r="C173" s="7" t="str">
        <f t="shared" si="7"/>
        <v>女</v>
      </c>
      <c r="D173" s="7" t="str">
        <f>"411325199201058623"</f>
        <v>411325199201058623</v>
      </c>
      <c r="E173" s="8" t="str">
        <f>"10960040620"</f>
        <v>10960040620</v>
      </c>
      <c r="F173" s="7" t="str">
        <f t="shared" si="8"/>
        <v>06</v>
      </c>
      <c r="G173" s="7" t="str">
        <f>"20"</f>
        <v>20</v>
      </c>
      <c r="H173" s="7" t="s">
        <v>13</v>
      </c>
      <c r="I173" s="7" t="s">
        <v>14</v>
      </c>
      <c r="J173" s="9"/>
    </row>
    <row r="174" ht="14.25" spans="1:10">
      <c r="A174" s="7" t="s">
        <v>146</v>
      </c>
      <c r="B174" s="7" t="s">
        <v>187</v>
      </c>
      <c r="C174" s="7" t="str">
        <f t="shared" si="7"/>
        <v>女</v>
      </c>
      <c r="D174" s="7" t="str">
        <f>"411329199805213124"</f>
        <v>411329199805213124</v>
      </c>
      <c r="E174" s="8" t="str">
        <f>"10960040621"</f>
        <v>10960040621</v>
      </c>
      <c r="F174" s="7" t="str">
        <f t="shared" si="8"/>
        <v>06</v>
      </c>
      <c r="G174" s="7" t="str">
        <f>"21"</f>
        <v>21</v>
      </c>
      <c r="H174" s="7" t="s">
        <v>13</v>
      </c>
      <c r="I174" s="7" t="s">
        <v>14</v>
      </c>
      <c r="J174" s="9"/>
    </row>
    <row r="175" ht="14.25" spans="1:10">
      <c r="A175" s="7" t="s">
        <v>146</v>
      </c>
      <c r="B175" s="7" t="s">
        <v>188</v>
      </c>
      <c r="C175" s="7" t="str">
        <f t="shared" si="7"/>
        <v>女</v>
      </c>
      <c r="D175" s="7" t="str">
        <f>"411325199310080061"</f>
        <v>411325199310080061</v>
      </c>
      <c r="E175" s="8" t="str">
        <f>"10960040622"</f>
        <v>10960040622</v>
      </c>
      <c r="F175" s="7" t="str">
        <f t="shared" si="8"/>
        <v>06</v>
      </c>
      <c r="G175" s="7" t="str">
        <f>"22"</f>
        <v>22</v>
      </c>
      <c r="H175" s="7" t="s">
        <v>13</v>
      </c>
      <c r="I175" s="7">
        <v>58</v>
      </c>
      <c r="J175" s="9"/>
    </row>
    <row r="176" ht="14.25" spans="1:10">
      <c r="A176" s="7" t="s">
        <v>146</v>
      </c>
      <c r="B176" s="7" t="s">
        <v>189</v>
      </c>
      <c r="C176" s="7" t="str">
        <f t="shared" si="7"/>
        <v>女</v>
      </c>
      <c r="D176" s="7" t="str">
        <f>"411328199802122968"</f>
        <v>411328199802122968</v>
      </c>
      <c r="E176" s="8" t="str">
        <f>"10960040623"</f>
        <v>10960040623</v>
      </c>
      <c r="F176" s="7" t="str">
        <f t="shared" si="8"/>
        <v>06</v>
      </c>
      <c r="G176" s="7" t="str">
        <f>"23"</f>
        <v>23</v>
      </c>
      <c r="H176" s="7" t="s">
        <v>13</v>
      </c>
      <c r="I176" s="7">
        <v>59.1</v>
      </c>
      <c r="J176" s="9"/>
    </row>
    <row r="177" ht="14.25" spans="1:10">
      <c r="A177" s="7" t="s">
        <v>146</v>
      </c>
      <c r="B177" s="7" t="s">
        <v>190</v>
      </c>
      <c r="C177" s="7" t="str">
        <f t="shared" si="7"/>
        <v>女</v>
      </c>
      <c r="D177" s="7" t="str">
        <f>"41132519961006504X"</f>
        <v>41132519961006504X</v>
      </c>
      <c r="E177" s="8" t="str">
        <f>"10960040624"</f>
        <v>10960040624</v>
      </c>
      <c r="F177" s="7" t="str">
        <f t="shared" si="8"/>
        <v>06</v>
      </c>
      <c r="G177" s="7" t="str">
        <f>"24"</f>
        <v>24</v>
      </c>
      <c r="H177" s="7" t="s">
        <v>13</v>
      </c>
      <c r="I177" s="7">
        <v>68.1</v>
      </c>
      <c r="J177" s="9"/>
    </row>
    <row r="178" ht="14.25" spans="1:10">
      <c r="A178" s="7" t="s">
        <v>146</v>
      </c>
      <c r="B178" s="7" t="s">
        <v>191</v>
      </c>
      <c r="C178" s="7" t="str">
        <f t="shared" si="7"/>
        <v>男</v>
      </c>
      <c r="D178" s="7" t="str">
        <f>"411325199202110016"</f>
        <v>411325199202110016</v>
      </c>
      <c r="E178" s="8" t="str">
        <f>"10960040625"</f>
        <v>10960040625</v>
      </c>
      <c r="F178" s="7" t="str">
        <f t="shared" si="8"/>
        <v>06</v>
      </c>
      <c r="G178" s="7" t="str">
        <f>"25"</f>
        <v>25</v>
      </c>
      <c r="H178" s="7" t="s">
        <v>13</v>
      </c>
      <c r="I178" s="7">
        <v>62.8</v>
      </c>
      <c r="J178" s="9"/>
    </row>
    <row r="179" ht="14.25" spans="1:10">
      <c r="A179" s="7" t="s">
        <v>146</v>
      </c>
      <c r="B179" s="7" t="s">
        <v>192</v>
      </c>
      <c r="C179" s="7" t="str">
        <f t="shared" si="7"/>
        <v>女</v>
      </c>
      <c r="D179" s="7" t="str">
        <f>"411325199604025527"</f>
        <v>411325199604025527</v>
      </c>
      <c r="E179" s="8" t="str">
        <f>"10960040626"</f>
        <v>10960040626</v>
      </c>
      <c r="F179" s="7" t="str">
        <f t="shared" si="8"/>
        <v>06</v>
      </c>
      <c r="G179" s="7" t="str">
        <f>"26"</f>
        <v>26</v>
      </c>
      <c r="H179" s="7" t="s">
        <v>13</v>
      </c>
      <c r="I179" s="7">
        <v>56.3</v>
      </c>
      <c r="J179" s="9"/>
    </row>
    <row r="180" ht="14.25" spans="1:10">
      <c r="A180" s="7" t="s">
        <v>146</v>
      </c>
      <c r="B180" s="7" t="s">
        <v>193</v>
      </c>
      <c r="C180" s="7" t="str">
        <f t="shared" si="7"/>
        <v>女</v>
      </c>
      <c r="D180" s="7" t="str">
        <f>"411326199601160025"</f>
        <v>411326199601160025</v>
      </c>
      <c r="E180" s="8" t="str">
        <f>"10960040627"</f>
        <v>10960040627</v>
      </c>
      <c r="F180" s="7" t="str">
        <f t="shared" si="8"/>
        <v>06</v>
      </c>
      <c r="G180" s="7" t="str">
        <f>"27"</f>
        <v>27</v>
      </c>
      <c r="H180" s="7" t="s">
        <v>13</v>
      </c>
      <c r="I180" s="7">
        <v>63.8</v>
      </c>
      <c r="J180" s="9"/>
    </row>
    <row r="181" ht="14.25" spans="1:10">
      <c r="A181" s="7" t="s">
        <v>146</v>
      </c>
      <c r="B181" s="7" t="s">
        <v>194</v>
      </c>
      <c r="C181" s="7" t="str">
        <f t="shared" si="7"/>
        <v>女</v>
      </c>
      <c r="D181" s="7" t="str">
        <f>"411325199703301320"</f>
        <v>411325199703301320</v>
      </c>
      <c r="E181" s="8" t="str">
        <f>"10960040628"</f>
        <v>10960040628</v>
      </c>
      <c r="F181" s="7" t="str">
        <f t="shared" si="8"/>
        <v>06</v>
      </c>
      <c r="G181" s="7" t="str">
        <f>"28"</f>
        <v>28</v>
      </c>
      <c r="H181" s="7" t="s">
        <v>13</v>
      </c>
      <c r="I181" s="7">
        <v>61.8</v>
      </c>
      <c r="J181" s="9"/>
    </row>
    <row r="182" ht="14.25" spans="1:10">
      <c r="A182" s="7" t="s">
        <v>146</v>
      </c>
      <c r="B182" s="7" t="s">
        <v>195</v>
      </c>
      <c r="C182" s="7" t="str">
        <f t="shared" si="7"/>
        <v>女</v>
      </c>
      <c r="D182" s="7" t="str">
        <f>"411325199505121329"</f>
        <v>411325199505121329</v>
      </c>
      <c r="E182" s="8" t="str">
        <f>"10960040629"</f>
        <v>10960040629</v>
      </c>
      <c r="F182" s="7" t="str">
        <f t="shared" si="8"/>
        <v>06</v>
      </c>
      <c r="G182" s="7" t="str">
        <f>"29"</f>
        <v>29</v>
      </c>
      <c r="H182" s="7" t="s">
        <v>13</v>
      </c>
      <c r="I182" s="7">
        <v>65.8</v>
      </c>
      <c r="J182" s="9"/>
    </row>
    <row r="183" ht="14.25" spans="1:10">
      <c r="A183" s="7" t="s">
        <v>146</v>
      </c>
      <c r="B183" s="7" t="s">
        <v>196</v>
      </c>
      <c r="C183" s="7" t="str">
        <f t="shared" si="7"/>
        <v>女</v>
      </c>
      <c r="D183" s="7" t="str">
        <f>"41132219970701424X"</f>
        <v>41132219970701424X</v>
      </c>
      <c r="E183" s="8" t="str">
        <f>"10960040630"</f>
        <v>10960040630</v>
      </c>
      <c r="F183" s="7" t="str">
        <f t="shared" si="8"/>
        <v>06</v>
      </c>
      <c r="G183" s="7" t="str">
        <f>"30"</f>
        <v>30</v>
      </c>
      <c r="H183" s="7" t="s">
        <v>13</v>
      </c>
      <c r="I183" s="7" t="s">
        <v>14</v>
      </c>
      <c r="J183" s="9"/>
    </row>
    <row r="184" ht="14.25" spans="1:10">
      <c r="A184" s="7" t="s">
        <v>146</v>
      </c>
      <c r="B184" s="7" t="s">
        <v>197</v>
      </c>
      <c r="C184" s="7" t="str">
        <f t="shared" si="7"/>
        <v>男</v>
      </c>
      <c r="D184" s="7" t="str">
        <f>"411325199810142310"</f>
        <v>411325199810142310</v>
      </c>
      <c r="E184" s="8" t="str">
        <f>"10960040701"</f>
        <v>10960040701</v>
      </c>
      <c r="F184" s="7" t="str">
        <f t="shared" ref="F184:F213" si="9">"07"</f>
        <v>07</v>
      </c>
      <c r="G184" s="7" t="str">
        <f>"01"</f>
        <v>01</v>
      </c>
      <c r="H184" s="7" t="s">
        <v>13</v>
      </c>
      <c r="I184" s="7">
        <v>63.4</v>
      </c>
      <c r="J184" s="9"/>
    </row>
    <row r="185" ht="14.25" spans="1:10">
      <c r="A185" s="7" t="s">
        <v>146</v>
      </c>
      <c r="B185" s="7" t="s">
        <v>198</v>
      </c>
      <c r="C185" s="7" t="str">
        <f t="shared" si="7"/>
        <v>女</v>
      </c>
      <c r="D185" s="7" t="str">
        <f>"411325199407010422"</f>
        <v>411325199407010422</v>
      </c>
      <c r="E185" s="8" t="str">
        <f>"10960040702"</f>
        <v>10960040702</v>
      </c>
      <c r="F185" s="7" t="str">
        <f t="shared" si="9"/>
        <v>07</v>
      </c>
      <c r="G185" s="7" t="str">
        <f>"02"</f>
        <v>02</v>
      </c>
      <c r="H185" s="7" t="s">
        <v>13</v>
      </c>
      <c r="I185" s="7">
        <v>63.5</v>
      </c>
      <c r="J185" s="9"/>
    </row>
    <row r="186" ht="14.25" spans="1:10">
      <c r="A186" s="7" t="s">
        <v>146</v>
      </c>
      <c r="B186" s="7" t="s">
        <v>199</v>
      </c>
      <c r="C186" s="7" t="str">
        <f t="shared" si="7"/>
        <v>男</v>
      </c>
      <c r="D186" s="7" t="str">
        <f>"411325199612280413"</f>
        <v>411325199612280413</v>
      </c>
      <c r="E186" s="8" t="str">
        <f>"10960040703"</f>
        <v>10960040703</v>
      </c>
      <c r="F186" s="7" t="str">
        <f t="shared" si="9"/>
        <v>07</v>
      </c>
      <c r="G186" s="7" t="str">
        <f>"03"</f>
        <v>03</v>
      </c>
      <c r="H186" s="7" t="s">
        <v>13</v>
      </c>
      <c r="I186" s="7">
        <v>68.8</v>
      </c>
      <c r="J186" s="9"/>
    </row>
    <row r="187" ht="14.25" spans="1:10">
      <c r="A187" s="7" t="s">
        <v>146</v>
      </c>
      <c r="B187" s="7" t="s">
        <v>200</v>
      </c>
      <c r="C187" s="7" t="str">
        <f t="shared" si="7"/>
        <v>女</v>
      </c>
      <c r="D187" s="7" t="str">
        <f>"411325199109260423"</f>
        <v>411325199109260423</v>
      </c>
      <c r="E187" s="8" t="str">
        <f>"10960040704"</f>
        <v>10960040704</v>
      </c>
      <c r="F187" s="7" t="str">
        <f t="shared" si="9"/>
        <v>07</v>
      </c>
      <c r="G187" s="7" t="str">
        <f>"04"</f>
        <v>04</v>
      </c>
      <c r="H187" s="7" t="s">
        <v>13</v>
      </c>
      <c r="I187" s="7">
        <v>56</v>
      </c>
      <c r="J187" s="9"/>
    </row>
    <row r="188" ht="14.25" spans="1:10">
      <c r="A188" s="7" t="s">
        <v>146</v>
      </c>
      <c r="B188" s="7" t="s">
        <v>201</v>
      </c>
      <c r="C188" s="7" t="str">
        <f t="shared" si="7"/>
        <v>女</v>
      </c>
      <c r="D188" s="7" t="str">
        <f>"411381199606102021"</f>
        <v>411381199606102021</v>
      </c>
      <c r="E188" s="8" t="str">
        <f>"10960040705"</f>
        <v>10960040705</v>
      </c>
      <c r="F188" s="7" t="str">
        <f t="shared" si="9"/>
        <v>07</v>
      </c>
      <c r="G188" s="7" t="str">
        <f>"05"</f>
        <v>05</v>
      </c>
      <c r="H188" s="7" t="s">
        <v>13</v>
      </c>
      <c r="I188" s="7" t="s">
        <v>14</v>
      </c>
      <c r="J188" s="9"/>
    </row>
    <row r="189" ht="14.25" spans="1:10">
      <c r="A189" s="7" t="s">
        <v>146</v>
      </c>
      <c r="B189" s="7" t="s">
        <v>202</v>
      </c>
      <c r="C189" s="7" t="str">
        <f t="shared" si="7"/>
        <v>男</v>
      </c>
      <c r="D189" s="7" t="str">
        <f>"411325199412100430"</f>
        <v>411325199412100430</v>
      </c>
      <c r="E189" s="8" t="str">
        <f>"10960040706"</f>
        <v>10960040706</v>
      </c>
      <c r="F189" s="7" t="str">
        <f t="shared" si="9"/>
        <v>07</v>
      </c>
      <c r="G189" s="7" t="str">
        <f>"06"</f>
        <v>06</v>
      </c>
      <c r="H189" s="7" t="s">
        <v>13</v>
      </c>
      <c r="I189" s="7">
        <v>63.5</v>
      </c>
      <c r="J189" s="9"/>
    </row>
    <row r="190" ht="14.25" spans="1:10">
      <c r="A190" s="7" t="s">
        <v>146</v>
      </c>
      <c r="B190" s="7" t="s">
        <v>203</v>
      </c>
      <c r="C190" s="7" t="str">
        <f t="shared" si="7"/>
        <v>女</v>
      </c>
      <c r="D190" s="7" t="str">
        <f>"41130219951215604X"</f>
        <v>41130219951215604X</v>
      </c>
      <c r="E190" s="8" t="str">
        <f>"10960040707"</f>
        <v>10960040707</v>
      </c>
      <c r="F190" s="7" t="str">
        <f t="shared" si="9"/>
        <v>07</v>
      </c>
      <c r="G190" s="7" t="str">
        <f>"07"</f>
        <v>07</v>
      </c>
      <c r="H190" s="7" t="s">
        <v>13</v>
      </c>
      <c r="I190" s="7" t="s">
        <v>14</v>
      </c>
      <c r="J190" s="9"/>
    </row>
    <row r="191" ht="14.25" spans="1:10">
      <c r="A191" s="7" t="s">
        <v>146</v>
      </c>
      <c r="B191" s="7" t="s">
        <v>204</v>
      </c>
      <c r="C191" s="7" t="str">
        <f t="shared" si="7"/>
        <v>男</v>
      </c>
      <c r="D191" s="7" t="str">
        <f>"412822199805031877"</f>
        <v>412822199805031877</v>
      </c>
      <c r="E191" s="8" t="str">
        <f>"10960040708"</f>
        <v>10960040708</v>
      </c>
      <c r="F191" s="7" t="str">
        <f t="shared" si="9"/>
        <v>07</v>
      </c>
      <c r="G191" s="7" t="str">
        <f>"08"</f>
        <v>08</v>
      </c>
      <c r="H191" s="7" t="s">
        <v>13</v>
      </c>
      <c r="I191" s="7" t="s">
        <v>14</v>
      </c>
      <c r="J191" s="9"/>
    </row>
    <row r="192" ht="14.25" spans="1:10">
      <c r="A192" s="7" t="s">
        <v>146</v>
      </c>
      <c r="B192" s="7" t="s">
        <v>205</v>
      </c>
      <c r="C192" s="7" t="str">
        <f t="shared" si="7"/>
        <v>女</v>
      </c>
      <c r="D192" s="7" t="str">
        <f>"411325199403013589"</f>
        <v>411325199403013589</v>
      </c>
      <c r="E192" s="8" t="str">
        <f>"10960040709"</f>
        <v>10960040709</v>
      </c>
      <c r="F192" s="7" t="str">
        <f t="shared" si="9"/>
        <v>07</v>
      </c>
      <c r="G192" s="7" t="str">
        <f>"09"</f>
        <v>09</v>
      </c>
      <c r="H192" s="7" t="s">
        <v>13</v>
      </c>
      <c r="I192" s="7" t="s">
        <v>14</v>
      </c>
      <c r="J192" s="9"/>
    </row>
    <row r="193" ht="14.25" spans="1:10">
      <c r="A193" s="7" t="s">
        <v>146</v>
      </c>
      <c r="B193" s="7" t="s">
        <v>206</v>
      </c>
      <c r="C193" s="7" t="str">
        <f t="shared" si="7"/>
        <v>女</v>
      </c>
      <c r="D193" s="7" t="str">
        <f>"41132519950926604X"</f>
        <v>41132519950926604X</v>
      </c>
      <c r="E193" s="8" t="str">
        <f>"10960040710"</f>
        <v>10960040710</v>
      </c>
      <c r="F193" s="7" t="str">
        <f t="shared" si="9"/>
        <v>07</v>
      </c>
      <c r="G193" s="7" t="str">
        <f>"10"</f>
        <v>10</v>
      </c>
      <c r="H193" s="7" t="s">
        <v>13</v>
      </c>
      <c r="I193" s="7" t="s">
        <v>14</v>
      </c>
      <c r="J193" s="9"/>
    </row>
    <row r="194" ht="14.25" spans="1:10">
      <c r="A194" s="7" t="s">
        <v>146</v>
      </c>
      <c r="B194" s="7" t="s">
        <v>207</v>
      </c>
      <c r="C194" s="7" t="str">
        <f t="shared" si="7"/>
        <v>男</v>
      </c>
      <c r="D194" s="7" t="str">
        <f>"41132519950426861X"</f>
        <v>41132519950426861X</v>
      </c>
      <c r="E194" s="8" t="str">
        <f>"10960040711"</f>
        <v>10960040711</v>
      </c>
      <c r="F194" s="7" t="str">
        <f t="shared" si="9"/>
        <v>07</v>
      </c>
      <c r="G194" s="7" t="str">
        <f>"11"</f>
        <v>11</v>
      </c>
      <c r="H194" s="7" t="s">
        <v>13</v>
      </c>
      <c r="I194" s="7">
        <v>43.6</v>
      </c>
      <c r="J194" s="9"/>
    </row>
    <row r="195" ht="14.25" spans="1:10">
      <c r="A195" s="7" t="s">
        <v>146</v>
      </c>
      <c r="B195" s="7" t="s">
        <v>208</v>
      </c>
      <c r="C195" s="7" t="str">
        <f t="shared" si="7"/>
        <v>女</v>
      </c>
      <c r="D195" s="7" t="str">
        <f>"411330199508280529"</f>
        <v>411330199508280529</v>
      </c>
      <c r="E195" s="8" t="str">
        <f>"10960040712"</f>
        <v>10960040712</v>
      </c>
      <c r="F195" s="7" t="str">
        <f t="shared" si="9"/>
        <v>07</v>
      </c>
      <c r="G195" s="7" t="str">
        <f>"12"</f>
        <v>12</v>
      </c>
      <c r="H195" s="7" t="s">
        <v>13</v>
      </c>
      <c r="I195" s="7" t="s">
        <v>14</v>
      </c>
      <c r="J195" s="9"/>
    </row>
    <row r="196" ht="14.25" spans="1:10">
      <c r="A196" s="7" t="s">
        <v>146</v>
      </c>
      <c r="B196" s="7" t="s">
        <v>209</v>
      </c>
      <c r="C196" s="7" t="str">
        <f t="shared" ref="C196:C259" si="10">IF(MOD(MID(D196,17,1),2),"男","女")</f>
        <v>女</v>
      </c>
      <c r="D196" s="7" t="str">
        <f>"411325199703300440"</f>
        <v>411325199703300440</v>
      </c>
      <c r="E196" s="8" t="str">
        <f>"10960040713"</f>
        <v>10960040713</v>
      </c>
      <c r="F196" s="7" t="str">
        <f t="shared" si="9"/>
        <v>07</v>
      </c>
      <c r="G196" s="7" t="str">
        <f>"13"</f>
        <v>13</v>
      </c>
      <c r="H196" s="7" t="s">
        <v>13</v>
      </c>
      <c r="I196" s="7" t="s">
        <v>14</v>
      </c>
      <c r="J196" s="9"/>
    </row>
    <row r="197" ht="14.25" spans="1:10">
      <c r="A197" s="7" t="s">
        <v>146</v>
      </c>
      <c r="B197" s="7" t="s">
        <v>210</v>
      </c>
      <c r="C197" s="7" t="str">
        <f t="shared" si="10"/>
        <v>女</v>
      </c>
      <c r="D197" s="7" t="str">
        <f>"41132219951016106X"</f>
        <v>41132219951016106X</v>
      </c>
      <c r="E197" s="8" t="str">
        <f>"10960040714"</f>
        <v>10960040714</v>
      </c>
      <c r="F197" s="7" t="str">
        <f t="shared" si="9"/>
        <v>07</v>
      </c>
      <c r="G197" s="7" t="str">
        <f>"14"</f>
        <v>14</v>
      </c>
      <c r="H197" s="7" t="s">
        <v>13</v>
      </c>
      <c r="I197" s="7" t="s">
        <v>14</v>
      </c>
      <c r="J197" s="9"/>
    </row>
    <row r="198" ht="14.25" spans="1:10">
      <c r="A198" s="7" t="s">
        <v>146</v>
      </c>
      <c r="B198" s="7" t="s">
        <v>211</v>
      </c>
      <c r="C198" s="7" t="str">
        <f t="shared" si="10"/>
        <v>女</v>
      </c>
      <c r="D198" s="7" t="str">
        <f>"411329199608054443"</f>
        <v>411329199608054443</v>
      </c>
      <c r="E198" s="8" t="str">
        <f>"10960040715"</f>
        <v>10960040715</v>
      </c>
      <c r="F198" s="7" t="str">
        <f t="shared" si="9"/>
        <v>07</v>
      </c>
      <c r="G198" s="7" t="str">
        <f>"15"</f>
        <v>15</v>
      </c>
      <c r="H198" s="7" t="s">
        <v>13</v>
      </c>
      <c r="I198" s="7" t="s">
        <v>14</v>
      </c>
      <c r="J198" s="9"/>
    </row>
    <row r="199" ht="14.25" spans="1:10">
      <c r="A199" s="7" t="s">
        <v>146</v>
      </c>
      <c r="B199" s="7" t="s">
        <v>212</v>
      </c>
      <c r="C199" s="7" t="str">
        <f t="shared" si="10"/>
        <v>女</v>
      </c>
      <c r="D199" s="7" t="str">
        <f>"411325199312263523"</f>
        <v>411325199312263523</v>
      </c>
      <c r="E199" s="8" t="str">
        <f>"10960040716"</f>
        <v>10960040716</v>
      </c>
      <c r="F199" s="7" t="str">
        <f t="shared" si="9"/>
        <v>07</v>
      </c>
      <c r="G199" s="7" t="str">
        <f>"16"</f>
        <v>16</v>
      </c>
      <c r="H199" s="7" t="s">
        <v>13</v>
      </c>
      <c r="I199" s="7" t="s">
        <v>14</v>
      </c>
      <c r="J199" s="9"/>
    </row>
    <row r="200" ht="14.25" spans="1:10">
      <c r="A200" s="7" t="s">
        <v>146</v>
      </c>
      <c r="B200" s="7" t="s">
        <v>213</v>
      </c>
      <c r="C200" s="7" t="str">
        <f t="shared" si="10"/>
        <v>女</v>
      </c>
      <c r="D200" s="7" t="str">
        <f>"411325199612168624"</f>
        <v>411325199612168624</v>
      </c>
      <c r="E200" s="8" t="str">
        <f>"10960040717"</f>
        <v>10960040717</v>
      </c>
      <c r="F200" s="7" t="str">
        <f t="shared" si="9"/>
        <v>07</v>
      </c>
      <c r="G200" s="7" t="str">
        <f>"17"</f>
        <v>17</v>
      </c>
      <c r="H200" s="7" t="s">
        <v>13</v>
      </c>
      <c r="I200" s="7">
        <v>62.5</v>
      </c>
      <c r="J200" s="9"/>
    </row>
    <row r="201" ht="14.25" spans="1:10">
      <c r="A201" s="7" t="s">
        <v>146</v>
      </c>
      <c r="B201" s="7" t="s">
        <v>214</v>
      </c>
      <c r="C201" s="7" t="str">
        <f t="shared" si="10"/>
        <v>男</v>
      </c>
      <c r="D201" s="7" t="str">
        <f>"411325199701076051"</f>
        <v>411325199701076051</v>
      </c>
      <c r="E201" s="8" t="str">
        <f>"10960040718"</f>
        <v>10960040718</v>
      </c>
      <c r="F201" s="7" t="str">
        <f t="shared" si="9"/>
        <v>07</v>
      </c>
      <c r="G201" s="7" t="str">
        <f>"18"</f>
        <v>18</v>
      </c>
      <c r="H201" s="7" t="s">
        <v>13</v>
      </c>
      <c r="I201" s="7">
        <v>68.2</v>
      </c>
      <c r="J201" s="9"/>
    </row>
    <row r="202" ht="14.25" spans="1:10">
      <c r="A202" s="7" t="s">
        <v>146</v>
      </c>
      <c r="B202" s="7" t="s">
        <v>215</v>
      </c>
      <c r="C202" s="7" t="str">
        <f t="shared" si="10"/>
        <v>女</v>
      </c>
      <c r="D202" s="7" t="str">
        <f>"411325199903080024"</f>
        <v>411325199903080024</v>
      </c>
      <c r="E202" s="8" t="str">
        <f>"10960040719"</f>
        <v>10960040719</v>
      </c>
      <c r="F202" s="7" t="str">
        <f t="shared" si="9"/>
        <v>07</v>
      </c>
      <c r="G202" s="7" t="str">
        <f>"19"</f>
        <v>19</v>
      </c>
      <c r="H202" s="7" t="s">
        <v>13</v>
      </c>
      <c r="I202" s="7">
        <v>68.5</v>
      </c>
      <c r="J202" s="9"/>
    </row>
    <row r="203" ht="14.25" spans="1:10">
      <c r="A203" s="7" t="s">
        <v>146</v>
      </c>
      <c r="B203" s="7" t="s">
        <v>216</v>
      </c>
      <c r="C203" s="7" t="str">
        <f t="shared" si="10"/>
        <v>女</v>
      </c>
      <c r="D203" s="7" t="str">
        <f>"411325199711110743"</f>
        <v>411325199711110743</v>
      </c>
      <c r="E203" s="8" t="str">
        <f>"10960040720"</f>
        <v>10960040720</v>
      </c>
      <c r="F203" s="7" t="str">
        <f t="shared" si="9"/>
        <v>07</v>
      </c>
      <c r="G203" s="7" t="str">
        <f>"20"</f>
        <v>20</v>
      </c>
      <c r="H203" s="7" t="s">
        <v>13</v>
      </c>
      <c r="I203" s="7" t="s">
        <v>14</v>
      </c>
      <c r="J203" s="9"/>
    </row>
    <row r="204" ht="14.25" spans="1:10">
      <c r="A204" s="7" t="s">
        <v>146</v>
      </c>
      <c r="B204" s="7" t="s">
        <v>217</v>
      </c>
      <c r="C204" s="7" t="str">
        <f t="shared" si="10"/>
        <v>男</v>
      </c>
      <c r="D204" s="7" t="str">
        <f>"411325199409154577"</f>
        <v>411325199409154577</v>
      </c>
      <c r="E204" s="8" t="str">
        <f>"10960040721"</f>
        <v>10960040721</v>
      </c>
      <c r="F204" s="7" t="str">
        <f t="shared" si="9"/>
        <v>07</v>
      </c>
      <c r="G204" s="7" t="str">
        <f>"21"</f>
        <v>21</v>
      </c>
      <c r="H204" s="7" t="s">
        <v>13</v>
      </c>
      <c r="I204" s="7">
        <v>56.9</v>
      </c>
      <c r="J204" s="9"/>
    </row>
    <row r="205" ht="14.25" spans="1:10">
      <c r="A205" s="7" t="s">
        <v>146</v>
      </c>
      <c r="B205" s="7" t="s">
        <v>218</v>
      </c>
      <c r="C205" s="7" t="str">
        <f t="shared" si="10"/>
        <v>女</v>
      </c>
      <c r="D205" s="7" t="str">
        <f>"411328199809031321"</f>
        <v>411328199809031321</v>
      </c>
      <c r="E205" s="8" t="str">
        <f>"10960040722"</f>
        <v>10960040722</v>
      </c>
      <c r="F205" s="7" t="str">
        <f t="shared" si="9"/>
        <v>07</v>
      </c>
      <c r="G205" s="7" t="str">
        <f>"22"</f>
        <v>22</v>
      </c>
      <c r="H205" s="7" t="s">
        <v>13</v>
      </c>
      <c r="I205" s="7">
        <v>61.2</v>
      </c>
      <c r="J205" s="9"/>
    </row>
    <row r="206" ht="14.25" spans="1:10">
      <c r="A206" s="7" t="s">
        <v>146</v>
      </c>
      <c r="B206" s="7" t="s">
        <v>219</v>
      </c>
      <c r="C206" s="7" t="str">
        <f t="shared" si="10"/>
        <v>女</v>
      </c>
      <c r="D206" s="7" t="str">
        <f>"411302199502051324"</f>
        <v>411302199502051324</v>
      </c>
      <c r="E206" s="8" t="str">
        <f>"10960040723"</f>
        <v>10960040723</v>
      </c>
      <c r="F206" s="7" t="str">
        <f t="shared" si="9"/>
        <v>07</v>
      </c>
      <c r="G206" s="7" t="str">
        <f>"23"</f>
        <v>23</v>
      </c>
      <c r="H206" s="7" t="s">
        <v>13</v>
      </c>
      <c r="I206" s="7" t="s">
        <v>14</v>
      </c>
      <c r="J206" s="9"/>
    </row>
    <row r="207" ht="14.25" spans="1:10">
      <c r="A207" s="7" t="s">
        <v>146</v>
      </c>
      <c r="B207" s="7" t="s">
        <v>220</v>
      </c>
      <c r="C207" s="7" t="str">
        <f t="shared" si="10"/>
        <v>女</v>
      </c>
      <c r="D207" s="7" t="str">
        <f>"411303199604132148"</f>
        <v>411303199604132148</v>
      </c>
      <c r="E207" s="8" t="str">
        <f>"10960040724"</f>
        <v>10960040724</v>
      </c>
      <c r="F207" s="7" t="str">
        <f t="shared" si="9"/>
        <v>07</v>
      </c>
      <c r="G207" s="7" t="str">
        <f>"24"</f>
        <v>24</v>
      </c>
      <c r="H207" s="7" t="s">
        <v>13</v>
      </c>
      <c r="I207" s="7" t="s">
        <v>14</v>
      </c>
      <c r="J207" s="9"/>
    </row>
    <row r="208" ht="14.25" spans="1:10">
      <c r="A208" s="7" t="s">
        <v>146</v>
      </c>
      <c r="B208" s="7" t="s">
        <v>221</v>
      </c>
      <c r="C208" s="7" t="str">
        <f t="shared" si="10"/>
        <v>男</v>
      </c>
      <c r="D208" s="7" t="str">
        <f>"411329199705043156"</f>
        <v>411329199705043156</v>
      </c>
      <c r="E208" s="8" t="str">
        <f>"10960040725"</f>
        <v>10960040725</v>
      </c>
      <c r="F208" s="7" t="str">
        <f t="shared" si="9"/>
        <v>07</v>
      </c>
      <c r="G208" s="7" t="str">
        <f>"25"</f>
        <v>25</v>
      </c>
      <c r="H208" s="7" t="s">
        <v>13</v>
      </c>
      <c r="I208" s="7" t="s">
        <v>14</v>
      </c>
      <c r="J208" s="9"/>
    </row>
    <row r="209" ht="14.25" spans="1:10">
      <c r="A209" s="7" t="s">
        <v>146</v>
      </c>
      <c r="B209" s="7" t="s">
        <v>222</v>
      </c>
      <c r="C209" s="7" t="str">
        <f t="shared" si="10"/>
        <v>女</v>
      </c>
      <c r="D209" s="7" t="str">
        <f>"411328199604307769"</f>
        <v>411328199604307769</v>
      </c>
      <c r="E209" s="8" t="str">
        <f>"10960040726"</f>
        <v>10960040726</v>
      </c>
      <c r="F209" s="7" t="str">
        <f t="shared" si="9"/>
        <v>07</v>
      </c>
      <c r="G209" s="7" t="str">
        <f>"26"</f>
        <v>26</v>
      </c>
      <c r="H209" s="7" t="s">
        <v>13</v>
      </c>
      <c r="I209" s="7">
        <v>60.8</v>
      </c>
      <c r="J209" s="9"/>
    </row>
    <row r="210" ht="14.25" spans="1:10">
      <c r="A210" s="7" t="s">
        <v>146</v>
      </c>
      <c r="B210" s="7" t="s">
        <v>223</v>
      </c>
      <c r="C210" s="7" t="str">
        <f t="shared" si="10"/>
        <v>女</v>
      </c>
      <c r="D210" s="7" t="str">
        <f>"411325199511296029"</f>
        <v>411325199511296029</v>
      </c>
      <c r="E210" s="8" t="str">
        <f>"10960040727"</f>
        <v>10960040727</v>
      </c>
      <c r="F210" s="7" t="str">
        <f t="shared" si="9"/>
        <v>07</v>
      </c>
      <c r="G210" s="7" t="str">
        <f>"27"</f>
        <v>27</v>
      </c>
      <c r="H210" s="7" t="s">
        <v>13</v>
      </c>
      <c r="I210" s="7">
        <v>72.7</v>
      </c>
      <c r="J210" s="9"/>
    </row>
    <row r="211" ht="14.25" spans="1:10">
      <c r="A211" s="7" t="s">
        <v>146</v>
      </c>
      <c r="B211" s="7" t="s">
        <v>224</v>
      </c>
      <c r="C211" s="7" t="str">
        <f t="shared" si="10"/>
        <v>女</v>
      </c>
      <c r="D211" s="7" t="str">
        <f>"411325199611040020"</f>
        <v>411325199611040020</v>
      </c>
      <c r="E211" s="8" t="str">
        <f>"10960040728"</f>
        <v>10960040728</v>
      </c>
      <c r="F211" s="7" t="str">
        <f t="shared" si="9"/>
        <v>07</v>
      </c>
      <c r="G211" s="7" t="str">
        <f>"28"</f>
        <v>28</v>
      </c>
      <c r="H211" s="7" t="s">
        <v>13</v>
      </c>
      <c r="I211" s="7">
        <v>65.2</v>
      </c>
      <c r="J211" s="9"/>
    </row>
    <row r="212" ht="14.25" spans="1:10">
      <c r="A212" s="7" t="s">
        <v>146</v>
      </c>
      <c r="B212" s="7" t="s">
        <v>225</v>
      </c>
      <c r="C212" s="7" t="str">
        <f t="shared" si="10"/>
        <v>男</v>
      </c>
      <c r="D212" s="7" t="str">
        <f>"412822199108074476"</f>
        <v>412822199108074476</v>
      </c>
      <c r="E212" s="8" t="str">
        <f>"10960040729"</f>
        <v>10960040729</v>
      </c>
      <c r="F212" s="7" t="str">
        <f t="shared" si="9"/>
        <v>07</v>
      </c>
      <c r="G212" s="7" t="str">
        <f>"29"</f>
        <v>29</v>
      </c>
      <c r="H212" s="7" t="s">
        <v>13</v>
      </c>
      <c r="I212" s="7">
        <v>62</v>
      </c>
      <c r="J212" s="9"/>
    </row>
    <row r="213" ht="14.25" spans="1:10">
      <c r="A213" s="7" t="s">
        <v>146</v>
      </c>
      <c r="B213" s="7" t="s">
        <v>226</v>
      </c>
      <c r="C213" s="7" t="str">
        <f t="shared" si="10"/>
        <v>男</v>
      </c>
      <c r="D213" s="7" t="str">
        <f>"411325199304171311"</f>
        <v>411325199304171311</v>
      </c>
      <c r="E213" s="8" t="str">
        <f>"10960040730"</f>
        <v>10960040730</v>
      </c>
      <c r="F213" s="7" t="str">
        <f t="shared" si="9"/>
        <v>07</v>
      </c>
      <c r="G213" s="7" t="str">
        <f>"30"</f>
        <v>30</v>
      </c>
      <c r="H213" s="7" t="s">
        <v>13</v>
      </c>
      <c r="I213" s="7">
        <v>62.5</v>
      </c>
      <c r="J213" s="9"/>
    </row>
    <row r="214" ht="14.25" spans="1:10">
      <c r="A214" s="7" t="s">
        <v>146</v>
      </c>
      <c r="B214" s="7" t="s">
        <v>227</v>
      </c>
      <c r="C214" s="7" t="str">
        <f t="shared" si="10"/>
        <v>男</v>
      </c>
      <c r="D214" s="7" t="str">
        <f>"411325199507309413"</f>
        <v>411325199507309413</v>
      </c>
      <c r="E214" s="8" t="str">
        <f>"10960040801"</f>
        <v>10960040801</v>
      </c>
      <c r="F214" s="7" t="str">
        <f t="shared" ref="F214:F243" si="11">"08"</f>
        <v>08</v>
      </c>
      <c r="G214" s="7" t="str">
        <f>"01"</f>
        <v>01</v>
      </c>
      <c r="H214" s="7" t="s">
        <v>13</v>
      </c>
      <c r="I214" s="7">
        <v>60</v>
      </c>
      <c r="J214" s="9"/>
    </row>
    <row r="215" ht="14.25" spans="1:10">
      <c r="A215" s="7" t="s">
        <v>146</v>
      </c>
      <c r="B215" s="7" t="s">
        <v>228</v>
      </c>
      <c r="C215" s="7" t="str">
        <f t="shared" si="10"/>
        <v>男</v>
      </c>
      <c r="D215" s="7" t="str">
        <f>"411303199303160057"</f>
        <v>411303199303160057</v>
      </c>
      <c r="E215" s="8" t="str">
        <f>"10960040802"</f>
        <v>10960040802</v>
      </c>
      <c r="F215" s="7" t="str">
        <f t="shared" si="11"/>
        <v>08</v>
      </c>
      <c r="G215" s="7" t="str">
        <f>"02"</f>
        <v>02</v>
      </c>
      <c r="H215" s="7" t="s">
        <v>13</v>
      </c>
      <c r="I215" s="7" t="s">
        <v>14</v>
      </c>
      <c r="J215" s="9"/>
    </row>
    <row r="216" ht="14.25" spans="1:10">
      <c r="A216" s="7" t="s">
        <v>146</v>
      </c>
      <c r="B216" s="7" t="s">
        <v>229</v>
      </c>
      <c r="C216" s="7" t="str">
        <f t="shared" si="10"/>
        <v>女</v>
      </c>
      <c r="D216" s="7" t="str">
        <f>"411325199510090029"</f>
        <v>411325199510090029</v>
      </c>
      <c r="E216" s="8" t="str">
        <f>"10960040803"</f>
        <v>10960040803</v>
      </c>
      <c r="F216" s="7" t="str">
        <f t="shared" si="11"/>
        <v>08</v>
      </c>
      <c r="G216" s="7" t="str">
        <f>"03"</f>
        <v>03</v>
      </c>
      <c r="H216" s="7" t="s">
        <v>13</v>
      </c>
      <c r="I216" s="7" t="s">
        <v>14</v>
      </c>
      <c r="J216" s="9"/>
    </row>
    <row r="217" ht="14.25" spans="1:10">
      <c r="A217" s="7" t="s">
        <v>146</v>
      </c>
      <c r="B217" s="7" t="s">
        <v>230</v>
      </c>
      <c r="C217" s="7" t="str">
        <f t="shared" si="10"/>
        <v>女</v>
      </c>
      <c r="D217" s="7" t="str">
        <f>"411303199701130048"</f>
        <v>411303199701130048</v>
      </c>
      <c r="E217" s="8" t="str">
        <f>"10960040804"</f>
        <v>10960040804</v>
      </c>
      <c r="F217" s="7" t="str">
        <f t="shared" si="11"/>
        <v>08</v>
      </c>
      <c r="G217" s="7" t="str">
        <f>"04"</f>
        <v>04</v>
      </c>
      <c r="H217" s="7" t="s">
        <v>13</v>
      </c>
      <c r="I217" s="7" t="s">
        <v>14</v>
      </c>
      <c r="J217" s="9"/>
    </row>
    <row r="218" ht="14.25" spans="1:10">
      <c r="A218" s="7" t="s">
        <v>146</v>
      </c>
      <c r="B218" s="7" t="s">
        <v>231</v>
      </c>
      <c r="C218" s="7" t="str">
        <f t="shared" si="10"/>
        <v>女</v>
      </c>
      <c r="D218" s="7" t="str">
        <f>"411321199712110029"</f>
        <v>411321199712110029</v>
      </c>
      <c r="E218" s="8" t="str">
        <f>"10960040805"</f>
        <v>10960040805</v>
      </c>
      <c r="F218" s="7" t="str">
        <f t="shared" si="11"/>
        <v>08</v>
      </c>
      <c r="G218" s="7" t="str">
        <f>"05"</f>
        <v>05</v>
      </c>
      <c r="H218" s="7" t="s">
        <v>13</v>
      </c>
      <c r="I218" s="7" t="s">
        <v>14</v>
      </c>
      <c r="J218" s="9"/>
    </row>
    <row r="219" ht="14.25" spans="1:10">
      <c r="A219" s="7" t="s">
        <v>146</v>
      </c>
      <c r="B219" s="7" t="s">
        <v>232</v>
      </c>
      <c r="C219" s="7" t="str">
        <f t="shared" si="10"/>
        <v>女</v>
      </c>
      <c r="D219" s="7" t="str">
        <f>"411328199705025568"</f>
        <v>411328199705025568</v>
      </c>
      <c r="E219" s="8" t="str">
        <f>"10960040806"</f>
        <v>10960040806</v>
      </c>
      <c r="F219" s="7" t="str">
        <f t="shared" si="11"/>
        <v>08</v>
      </c>
      <c r="G219" s="7" t="str">
        <f>"06"</f>
        <v>06</v>
      </c>
      <c r="H219" s="7" t="s">
        <v>13</v>
      </c>
      <c r="I219" s="7" t="s">
        <v>14</v>
      </c>
      <c r="J219" s="9"/>
    </row>
    <row r="220" ht="14.25" spans="1:10">
      <c r="A220" s="7" t="s">
        <v>146</v>
      </c>
      <c r="B220" s="7" t="s">
        <v>233</v>
      </c>
      <c r="C220" s="7" t="str">
        <f t="shared" si="10"/>
        <v>女</v>
      </c>
      <c r="D220" s="7" t="str">
        <f>"411325199602040029"</f>
        <v>411325199602040029</v>
      </c>
      <c r="E220" s="8" t="str">
        <f>"10960040807"</f>
        <v>10960040807</v>
      </c>
      <c r="F220" s="7" t="str">
        <f t="shared" si="11"/>
        <v>08</v>
      </c>
      <c r="G220" s="7" t="str">
        <f>"07"</f>
        <v>07</v>
      </c>
      <c r="H220" s="7" t="s">
        <v>13</v>
      </c>
      <c r="I220" s="7">
        <v>41.1</v>
      </c>
      <c r="J220" s="9"/>
    </row>
    <row r="221" ht="14.25" spans="1:10">
      <c r="A221" s="7" t="s">
        <v>146</v>
      </c>
      <c r="B221" s="7" t="s">
        <v>234</v>
      </c>
      <c r="C221" s="7" t="str">
        <f t="shared" si="10"/>
        <v>男</v>
      </c>
      <c r="D221" s="7" t="str">
        <f>"411302199408100871"</f>
        <v>411302199408100871</v>
      </c>
      <c r="E221" s="8" t="str">
        <f>"10960040808"</f>
        <v>10960040808</v>
      </c>
      <c r="F221" s="7" t="str">
        <f t="shared" si="11"/>
        <v>08</v>
      </c>
      <c r="G221" s="7" t="str">
        <f>"08"</f>
        <v>08</v>
      </c>
      <c r="H221" s="7" t="s">
        <v>13</v>
      </c>
      <c r="I221" s="7" t="s">
        <v>14</v>
      </c>
      <c r="J221" s="9"/>
    </row>
    <row r="222" ht="14.25" spans="1:10">
      <c r="A222" s="7" t="s">
        <v>146</v>
      </c>
      <c r="B222" s="7" t="s">
        <v>235</v>
      </c>
      <c r="C222" s="7" t="str">
        <f t="shared" si="10"/>
        <v>男</v>
      </c>
      <c r="D222" s="7" t="str">
        <f>"411302199703120816"</f>
        <v>411302199703120816</v>
      </c>
      <c r="E222" s="8" t="str">
        <f>"10960040809"</f>
        <v>10960040809</v>
      </c>
      <c r="F222" s="7" t="str">
        <f t="shared" si="11"/>
        <v>08</v>
      </c>
      <c r="G222" s="7" t="str">
        <f>"09"</f>
        <v>09</v>
      </c>
      <c r="H222" s="7" t="s">
        <v>13</v>
      </c>
      <c r="I222" s="7">
        <v>66.6</v>
      </c>
      <c r="J222" s="9"/>
    </row>
    <row r="223" ht="14.25" spans="1:10">
      <c r="A223" s="7" t="s">
        <v>146</v>
      </c>
      <c r="B223" s="7" t="s">
        <v>236</v>
      </c>
      <c r="C223" s="7" t="str">
        <f t="shared" si="10"/>
        <v>女</v>
      </c>
      <c r="D223" s="7" t="str">
        <f>"411322199411043420"</f>
        <v>411322199411043420</v>
      </c>
      <c r="E223" s="8" t="str">
        <f>"10960040810"</f>
        <v>10960040810</v>
      </c>
      <c r="F223" s="7" t="str">
        <f t="shared" si="11"/>
        <v>08</v>
      </c>
      <c r="G223" s="7" t="str">
        <f>"10"</f>
        <v>10</v>
      </c>
      <c r="H223" s="7" t="s">
        <v>13</v>
      </c>
      <c r="I223" s="7" t="s">
        <v>14</v>
      </c>
      <c r="J223" s="9"/>
    </row>
    <row r="224" ht="14.25" spans="1:10">
      <c r="A224" s="7" t="s">
        <v>146</v>
      </c>
      <c r="B224" s="7" t="s">
        <v>237</v>
      </c>
      <c r="C224" s="7" t="str">
        <f t="shared" si="10"/>
        <v>女</v>
      </c>
      <c r="D224" s="7" t="str">
        <f>"411325199503100022"</f>
        <v>411325199503100022</v>
      </c>
      <c r="E224" s="8" t="str">
        <f>"10960040811"</f>
        <v>10960040811</v>
      </c>
      <c r="F224" s="7" t="str">
        <f t="shared" si="11"/>
        <v>08</v>
      </c>
      <c r="G224" s="7" t="str">
        <f>"11"</f>
        <v>11</v>
      </c>
      <c r="H224" s="7" t="s">
        <v>13</v>
      </c>
      <c r="I224" s="7">
        <v>60.5</v>
      </c>
      <c r="J224" s="9"/>
    </row>
    <row r="225" ht="14.25" spans="1:10">
      <c r="A225" s="7" t="s">
        <v>146</v>
      </c>
      <c r="B225" s="7" t="s">
        <v>238</v>
      </c>
      <c r="C225" s="7" t="str">
        <f t="shared" si="10"/>
        <v>女</v>
      </c>
      <c r="D225" s="7" t="str">
        <f>"41132119960503004X"</f>
        <v>41132119960503004X</v>
      </c>
      <c r="E225" s="8" t="str">
        <f>"10960040812"</f>
        <v>10960040812</v>
      </c>
      <c r="F225" s="7" t="str">
        <f t="shared" si="11"/>
        <v>08</v>
      </c>
      <c r="G225" s="7" t="str">
        <f>"12"</f>
        <v>12</v>
      </c>
      <c r="H225" s="7" t="s">
        <v>13</v>
      </c>
      <c r="I225" s="7" t="s">
        <v>14</v>
      </c>
      <c r="J225" s="9"/>
    </row>
    <row r="226" ht="14.25" spans="1:10">
      <c r="A226" s="7" t="s">
        <v>146</v>
      </c>
      <c r="B226" s="7" t="s">
        <v>239</v>
      </c>
      <c r="C226" s="7" t="str">
        <f t="shared" si="10"/>
        <v>女</v>
      </c>
      <c r="D226" s="7" t="str">
        <f>"411321199901010027"</f>
        <v>411321199901010027</v>
      </c>
      <c r="E226" s="8" t="str">
        <f>"10960040813"</f>
        <v>10960040813</v>
      </c>
      <c r="F226" s="7" t="str">
        <f t="shared" si="11"/>
        <v>08</v>
      </c>
      <c r="G226" s="7" t="str">
        <f>"13"</f>
        <v>13</v>
      </c>
      <c r="H226" s="7" t="s">
        <v>13</v>
      </c>
      <c r="I226" s="7" t="s">
        <v>14</v>
      </c>
      <c r="J226" s="9"/>
    </row>
    <row r="227" ht="14.25" spans="1:10">
      <c r="A227" s="7" t="s">
        <v>146</v>
      </c>
      <c r="B227" s="7" t="s">
        <v>240</v>
      </c>
      <c r="C227" s="7" t="str">
        <f t="shared" si="10"/>
        <v>女</v>
      </c>
      <c r="D227" s="7" t="str">
        <f>"412822199410065861"</f>
        <v>412822199410065861</v>
      </c>
      <c r="E227" s="8" t="str">
        <f>"10960040814"</f>
        <v>10960040814</v>
      </c>
      <c r="F227" s="7" t="str">
        <f t="shared" si="11"/>
        <v>08</v>
      </c>
      <c r="G227" s="7" t="str">
        <f>"14"</f>
        <v>14</v>
      </c>
      <c r="H227" s="7" t="s">
        <v>13</v>
      </c>
      <c r="I227" s="7">
        <v>64.7</v>
      </c>
      <c r="J227" s="9"/>
    </row>
    <row r="228" ht="14.25" spans="1:10">
      <c r="A228" s="7" t="s">
        <v>146</v>
      </c>
      <c r="B228" s="7" t="s">
        <v>241</v>
      </c>
      <c r="C228" s="7" t="str">
        <f t="shared" si="10"/>
        <v>女</v>
      </c>
      <c r="D228" s="7" t="str">
        <f>"411325199205060026"</f>
        <v>411325199205060026</v>
      </c>
      <c r="E228" s="8" t="str">
        <f>"10960040815"</f>
        <v>10960040815</v>
      </c>
      <c r="F228" s="7" t="str">
        <f t="shared" si="11"/>
        <v>08</v>
      </c>
      <c r="G228" s="7" t="str">
        <f>"15"</f>
        <v>15</v>
      </c>
      <c r="H228" s="7" t="s">
        <v>13</v>
      </c>
      <c r="I228" s="7">
        <v>72.5</v>
      </c>
      <c r="J228" s="9"/>
    </row>
    <row r="229" ht="14.25" spans="1:10">
      <c r="A229" s="7" t="s">
        <v>146</v>
      </c>
      <c r="B229" s="7" t="s">
        <v>242</v>
      </c>
      <c r="C229" s="7" t="str">
        <f t="shared" si="10"/>
        <v>男</v>
      </c>
      <c r="D229" s="7" t="str">
        <f>"411321199708160031"</f>
        <v>411321199708160031</v>
      </c>
      <c r="E229" s="8" t="str">
        <f>"10960040816"</f>
        <v>10960040816</v>
      </c>
      <c r="F229" s="7" t="str">
        <f t="shared" si="11"/>
        <v>08</v>
      </c>
      <c r="G229" s="7" t="str">
        <f>"16"</f>
        <v>16</v>
      </c>
      <c r="H229" s="7" t="s">
        <v>13</v>
      </c>
      <c r="I229" s="7" t="s">
        <v>14</v>
      </c>
      <c r="J229" s="9"/>
    </row>
    <row r="230" ht="14.25" spans="1:10">
      <c r="A230" s="7" t="s">
        <v>146</v>
      </c>
      <c r="B230" s="7" t="s">
        <v>243</v>
      </c>
      <c r="C230" s="7" t="str">
        <f t="shared" si="10"/>
        <v>女</v>
      </c>
      <c r="D230" s="7" t="str">
        <f>"411325199501080048"</f>
        <v>411325199501080048</v>
      </c>
      <c r="E230" s="8" t="str">
        <f>"10960040817"</f>
        <v>10960040817</v>
      </c>
      <c r="F230" s="7" t="str">
        <f t="shared" si="11"/>
        <v>08</v>
      </c>
      <c r="G230" s="7" t="str">
        <f>"17"</f>
        <v>17</v>
      </c>
      <c r="H230" s="7" t="s">
        <v>13</v>
      </c>
      <c r="I230" s="7">
        <v>60.8</v>
      </c>
      <c r="J230" s="9"/>
    </row>
    <row r="231" ht="14.25" spans="1:10">
      <c r="A231" s="7" t="s">
        <v>146</v>
      </c>
      <c r="B231" s="7" t="s">
        <v>244</v>
      </c>
      <c r="C231" s="7" t="str">
        <f t="shared" si="10"/>
        <v>女</v>
      </c>
      <c r="D231" s="7" t="str">
        <f>"411325199707277428"</f>
        <v>411325199707277428</v>
      </c>
      <c r="E231" s="8" t="str">
        <f>"10960040818"</f>
        <v>10960040818</v>
      </c>
      <c r="F231" s="7" t="str">
        <f t="shared" si="11"/>
        <v>08</v>
      </c>
      <c r="G231" s="7" t="str">
        <f>"18"</f>
        <v>18</v>
      </c>
      <c r="H231" s="7" t="s">
        <v>13</v>
      </c>
      <c r="I231" s="7">
        <v>58.6</v>
      </c>
      <c r="J231" s="9"/>
    </row>
    <row r="232" ht="14.25" spans="1:10">
      <c r="A232" s="7" t="s">
        <v>146</v>
      </c>
      <c r="B232" s="7" t="s">
        <v>245</v>
      </c>
      <c r="C232" s="7" t="str">
        <f t="shared" si="10"/>
        <v>女</v>
      </c>
      <c r="D232" s="7" t="str">
        <f>"411325199209050423"</f>
        <v>411325199209050423</v>
      </c>
      <c r="E232" s="8" t="str">
        <f>"10960040819"</f>
        <v>10960040819</v>
      </c>
      <c r="F232" s="7" t="str">
        <f t="shared" si="11"/>
        <v>08</v>
      </c>
      <c r="G232" s="7" t="str">
        <f>"19"</f>
        <v>19</v>
      </c>
      <c r="H232" s="7" t="s">
        <v>13</v>
      </c>
      <c r="I232" s="7">
        <v>65</v>
      </c>
      <c r="J232" s="9"/>
    </row>
    <row r="233" ht="14.25" spans="1:10">
      <c r="A233" s="7" t="s">
        <v>146</v>
      </c>
      <c r="B233" s="7" t="s">
        <v>246</v>
      </c>
      <c r="C233" s="7" t="str">
        <f t="shared" si="10"/>
        <v>女</v>
      </c>
      <c r="D233" s="7" t="str">
        <f>"411302199812160825"</f>
        <v>411302199812160825</v>
      </c>
      <c r="E233" s="8" t="str">
        <f>"10960040820"</f>
        <v>10960040820</v>
      </c>
      <c r="F233" s="7" t="str">
        <f t="shared" si="11"/>
        <v>08</v>
      </c>
      <c r="G233" s="7" t="str">
        <f>"20"</f>
        <v>20</v>
      </c>
      <c r="H233" s="7" t="s">
        <v>13</v>
      </c>
      <c r="I233" s="7" t="s">
        <v>14</v>
      </c>
      <c r="J233" s="9"/>
    </row>
    <row r="234" ht="14.25" spans="1:10">
      <c r="A234" s="7" t="s">
        <v>146</v>
      </c>
      <c r="B234" s="7" t="s">
        <v>247</v>
      </c>
      <c r="C234" s="7" t="str">
        <f t="shared" si="10"/>
        <v>女</v>
      </c>
      <c r="D234" s="7" t="str">
        <f>"411324199809120062"</f>
        <v>411324199809120062</v>
      </c>
      <c r="E234" s="8" t="str">
        <f>"10960040821"</f>
        <v>10960040821</v>
      </c>
      <c r="F234" s="7" t="str">
        <f t="shared" si="11"/>
        <v>08</v>
      </c>
      <c r="G234" s="7" t="str">
        <f>"21"</f>
        <v>21</v>
      </c>
      <c r="H234" s="7" t="s">
        <v>13</v>
      </c>
      <c r="I234" s="7">
        <v>67.6</v>
      </c>
      <c r="J234" s="9"/>
    </row>
    <row r="235" ht="14.25" spans="1:10">
      <c r="A235" s="7" t="s">
        <v>146</v>
      </c>
      <c r="B235" s="7" t="s">
        <v>248</v>
      </c>
      <c r="C235" s="7" t="str">
        <f t="shared" si="10"/>
        <v>男</v>
      </c>
      <c r="D235" s="7" t="str">
        <f>"411325199609220014"</f>
        <v>411325199609220014</v>
      </c>
      <c r="E235" s="8" t="str">
        <f>"10960040822"</f>
        <v>10960040822</v>
      </c>
      <c r="F235" s="7" t="str">
        <f t="shared" si="11"/>
        <v>08</v>
      </c>
      <c r="G235" s="7" t="str">
        <f>"22"</f>
        <v>22</v>
      </c>
      <c r="H235" s="7" t="s">
        <v>13</v>
      </c>
      <c r="I235" s="7" t="s">
        <v>14</v>
      </c>
      <c r="J235" s="9"/>
    </row>
    <row r="236" ht="14.25" spans="1:10">
      <c r="A236" s="7" t="s">
        <v>146</v>
      </c>
      <c r="B236" s="7" t="s">
        <v>249</v>
      </c>
      <c r="C236" s="7" t="str">
        <f t="shared" si="10"/>
        <v>男</v>
      </c>
      <c r="D236" s="7" t="str">
        <f>"411325199301200033"</f>
        <v>411325199301200033</v>
      </c>
      <c r="E236" s="8" t="str">
        <f>"10960040823"</f>
        <v>10960040823</v>
      </c>
      <c r="F236" s="7" t="str">
        <f t="shared" si="11"/>
        <v>08</v>
      </c>
      <c r="G236" s="7" t="str">
        <f>"23"</f>
        <v>23</v>
      </c>
      <c r="H236" s="7" t="s">
        <v>13</v>
      </c>
      <c r="I236" s="7">
        <v>55.2</v>
      </c>
      <c r="J236" s="9"/>
    </row>
    <row r="237" ht="14.25" spans="1:10">
      <c r="A237" s="7" t="s">
        <v>146</v>
      </c>
      <c r="B237" s="7" t="s">
        <v>250</v>
      </c>
      <c r="C237" s="7" t="str">
        <f t="shared" si="10"/>
        <v>女</v>
      </c>
      <c r="D237" s="7" t="str">
        <f>"411321199509161525"</f>
        <v>411321199509161525</v>
      </c>
      <c r="E237" s="8" t="str">
        <f>"10960040824"</f>
        <v>10960040824</v>
      </c>
      <c r="F237" s="7" t="str">
        <f t="shared" si="11"/>
        <v>08</v>
      </c>
      <c r="G237" s="7" t="str">
        <f>"24"</f>
        <v>24</v>
      </c>
      <c r="H237" s="7" t="s">
        <v>13</v>
      </c>
      <c r="I237" s="7">
        <v>65.2</v>
      </c>
      <c r="J237" s="9"/>
    </row>
    <row r="238" ht="14.25" spans="1:10">
      <c r="A238" s="7" t="s">
        <v>146</v>
      </c>
      <c r="B238" s="7" t="s">
        <v>251</v>
      </c>
      <c r="C238" s="7" t="str">
        <f t="shared" si="10"/>
        <v>女</v>
      </c>
      <c r="D238" s="7" t="str">
        <f>"411328199901091941"</f>
        <v>411328199901091941</v>
      </c>
      <c r="E238" s="8" t="str">
        <f>"10960040825"</f>
        <v>10960040825</v>
      </c>
      <c r="F238" s="7" t="str">
        <f t="shared" si="11"/>
        <v>08</v>
      </c>
      <c r="G238" s="7" t="str">
        <f>"25"</f>
        <v>25</v>
      </c>
      <c r="H238" s="7" t="s">
        <v>13</v>
      </c>
      <c r="I238" s="7">
        <v>61.8</v>
      </c>
      <c r="J238" s="9"/>
    </row>
    <row r="239" ht="14.25" spans="1:10">
      <c r="A239" s="7" t="s">
        <v>146</v>
      </c>
      <c r="B239" s="7" t="s">
        <v>252</v>
      </c>
      <c r="C239" s="7" t="str">
        <f t="shared" si="10"/>
        <v>女</v>
      </c>
      <c r="D239" s="7" t="str">
        <f>"411325199806016522"</f>
        <v>411325199806016522</v>
      </c>
      <c r="E239" s="8" t="str">
        <f>"10960040826"</f>
        <v>10960040826</v>
      </c>
      <c r="F239" s="7" t="str">
        <f t="shared" si="11"/>
        <v>08</v>
      </c>
      <c r="G239" s="7" t="str">
        <f>"26"</f>
        <v>26</v>
      </c>
      <c r="H239" s="7" t="s">
        <v>13</v>
      </c>
      <c r="I239" s="7">
        <v>75.8</v>
      </c>
      <c r="J239" s="9"/>
    </row>
    <row r="240" ht="14.25" spans="1:10">
      <c r="A240" s="7" t="s">
        <v>146</v>
      </c>
      <c r="B240" s="7" t="s">
        <v>253</v>
      </c>
      <c r="C240" s="7" t="str">
        <f t="shared" si="10"/>
        <v>女</v>
      </c>
      <c r="D240" s="7" t="str">
        <f>"41132319970126632X"</f>
        <v>41132319970126632X</v>
      </c>
      <c r="E240" s="8" t="str">
        <f>"10960040827"</f>
        <v>10960040827</v>
      </c>
      <c r="F240" s="7" t="str">
        <f t="shared" si="11"/>
        <v>08</v>
      </c>
      <c r="G240" s="7" t="str">
        <f>"27"</f>
        <v>27</v>
      </c>
      <c r="H240" s="7" t="s">
        <v>13</v>
      </c>
      <c r="I240" s="7" t="s">
        <v>14</v>
      </c>
      <c r="J240" s="9"/>
    </row>
    <row r="241" ht="14.25" spans="1:10">
      <c r="A241" s="7" t="s">
        <v>146</v>
      </c>
      <c r="B241" s="7" t="s">
        <v>254</v>
      </c>
      <c r="C241" s="7" t="str">
        <f t="shared" si="10"/>
        <v>女</v>
      </c>
      <c r="D241" s="7" t="str">
        <f>"411325199410070741"</f>
        <v>411325199410070741</v>
      </c>
      <c r="E241" s="8" t="str">
        <f>"10960040828"</f>
        <v>10960040828</v>
      </c>
      <c r="F241" s="7" t="str">
        <f t="shared" si="11"/>
        <v>08</v>
      </c>
      <c r="G241" s="7" t="str">
        <f>"28"</f>
        <v>28</v>
      </c>
      <c r="H241" s="7" t="s">
        <v>13</v>
      </c>
      <c r="I241" s="7">
        <v>75</v>
      </c>
      <c r="J241" s="9"/>
    </row>
    <row r="242" ht="14.25" spans="1:10">
      <c r="A242" s="7" t="s">
        <v>146</v>
      </c>
      <c r="B242" s="7" t="s">
        <v>255</v>
      </c>
      <c r="C242" s="7" t="str">
        <f t="shared" si="10"/>
        <v>女</v>
      </c>
      <c r="D242" s="7" t="str">
        <f>"411325199106076049"</f>
        <v>411325199106076049</v>
      </c>
      <c r="E242" s="8" t="str">
        <f>"10960040829"</f>
        <v>10960040829</v>
      </c>
      <c r="F242" s="7" t="str">
        <f t="shared" si="11"/>
        <v>08</v>
      </c>
      <c r="G242" s="7" t="str">
        <f>"29"</f>
        <v>29</v>
      </c>
      <c r="H242" s="7" t="s">
        <v>13</v>
      </c>
      <c r="I242" s="7">
        <v>57.2</v>
      </c>
      <c r="J242" s="9"/>
    </row>
    <row r="243" ht="14.25" spans="1:10">
      <c r="A243" s="7" t="s">
        <v>146</v>
      </c>
      <c r="B243" s="7" t="s">
        <v>256</v>
      </c>
      <c r="C243" s="7" t="str">
        <f t="shared" si="10"/>
        <v>女</v>
      </c>
      <c r="D243" s="7" t="str">
        <f>"411302199703205422"</f>
        <v>411302199703205422</v>
      </c>
      <c r="E243" s="8" t="str">
        <f>"10960040830"</f>
        <v>10960040830</v>
      </c>
      <c r="F243" s="7" t="str">
        <f t="shared" si="11"/>
        <v>08</v>
      </c>
      <c r="G243" s="7" t="str">
        <f>"30"</f>
        <v>30</v>
      </c>
      <c r="H243" s="7" t="s">
        <v>13</v>
      </c>
      <c r="I243" s="7" t="s">
        <v>14</v>
      </c>
      <c r="J243" s="9"/>
    </row>
    <row r="244" ht="14.25" spans="1:10">
      <c r="A244" s="7" t="s">
        <v>146</v>
      </c>
      <c r="B244" s="7" t="s">
        <v>257</v>
      </c>
      <c r="C244" s="7" t="str">
        <f t="shared" si="10"/>
        <v>女</v>
      </c>
      <c r="D244" s="7" t="str">
        <f>"411302199401170826"</f>
        <v>411302199401170826</v>
      </c>
      <c r="E244" s="8" t="str">
        <f>"10960040901"</f>
        <v>10960040901</v>
      </c>
      <c r="F244" s="7" t="str">
        <f t="shared" ref="F244:F273" si="12">"09"</f>
        <v>09</v>
      </c>
      <c r="G244" s="7" t="str">
        <f>"01"</f>
        <v>01</v>
      </c>
      <c r="H244" s="7" t="s">
        <v>13</v>
      </c>
      <c r="I244" s="7" t="s">
        <v>14</v>
      </c>
      <c r="J244" s="9"/>
    </row>
    <row r="245" ht="14.25" spans="1:10">
      <c r="A245" s="7" t="s">
        <v>146</v>
      </c>
      <c r="B245" s="7" t="s">
        <v>258</v>
      </c>
      <c r="C245" s="7" t="str">
        <f t="shared" si="10"/>
        <v>女</v>
      </c>
      <c r="D245" s="7" t="str">
        <f>"411302199509224523"</f>
        <v>411302199509224523</v>
      </c>
      <c r="E245" s="8" t="str">
        <f>"10960040902"</f>
        <v>10960040902</v>
      </c>
      <c r="F245" s="7" t="str">
        <f t="shared" si="12"/>
        <v>09</v>
      </c>
      <c r="G245" s="7" t="str">
        <f>"02"</f>
        <v>02</v>
      </c>
      <c r="H245" s="7" t="s">
        <v>13</v>
      </c>
      <c r="I245" s="7" t="s">
        <v>14</v>
      </c>
      <c r="J245" s="9"/>
    </row>
    <row r="246" ht="14.25" spans="1:10">
      <c r="A246" s="7" t="s">
        <v>146</v>
      </c>
      <c r="B246" s="7" t="s">
        <v>259</v>
      </c>
      <c r="C246" s="7" t="str">
        <f t="shared" si="10"/>
        <v>男</v>
      </c>
      <c r="D246" s="7" t="str">
        <f>"411325199602030015"</f>
        <v>411325199602030015</v>
      </c>
      <c r="E246" s="8" t="str">
        <f>"10960040903"</f>
        <v>10960040903</v>
      </c>
      <c r="F246" s="7" t="str">
        <f t="shared" si="12"/>
        <v>09</v>
      </c>
      <c r="G246" s="7" t="str">
        <f>"03"</f>
        <v>03</v>
      </c>
      <c r="H246" s="7" t="s">
        <v>13</v>
      </c>
      <c r="I246" s="7">
        <v>56.2</v>
      </c>
      <c r="J246" s="9"/>
    </row>
    <row r="247" ht="14.25" spans="1:10">
      <c r="A247" s="7" t="s">
        <v>146</v>
      </c>
      <c r="B247" s="7" t="s">
        <v>260</v>
      </c>
      <c r="C247" s="7" t="str">
        <f t="shared" si="10"/>
        <v>女</v>
      </c>
      <c r="D247" s="7" t="str">
        <f>"411325199809261363"</f>
        <v>411325199809261363</v>
      </c>
      <c r="E247" s="8" t="str">
        <f>"10960040904"</f>
        <v>10960040904</v>
      </c>
      <c r="F247" s="7" t="str">
        <f t="shared" si="12"/>
        <v>09</v>
      </c>
      <c r="G247" s="7" t="str">
        <f>"04"</f>
        <v>04</v>
      </c>
      <c r="H247" s="7" t="s">
        <v>13</v>
      </c>
      <c r="I247" s="7" t="s">
        <v>14</v>
      </c>
      <c r="J247" s="9"/>
    </row>
    <row r="248" ht="14.25" spans="1:10">
      <c r="A248" s="7" t="s">
        <v>146</v>
      </c>
      <c r="B248" s="7" t="s">
        <v>261</v>
      </c>
      <c r="C248" s="7" t="str">
        <f t="shared" si="10"/>
        <v>女</v>
      </c>
      <c r="D248" s="7" t="str">
        <f>"411302199811251346"</f>
        <v>411302199811251346</v>
      </c>
      <c r="E248" s="8" t="str">
        <f>"10960040905"</f>
        <v>10960040905</v>
      </c>
      <c r="F248" s="7" t="str">
        <f t="shared" si="12"/>
        <v>09</v>
      </c>
      <c r="G248" s="7" t="str">
        <f>"05"</f>
        <v>05</v>
      </c>
      <c r="H248" s="7" t="s">
        <v>13</v>
      </c>
      <c r="I248" s="7" t="s">
        <v>14</v>
      </c>
      <c r="J248" s="9"/>
    </row>
    <row r="249" ht="14.25" spans="1:10">
      <c r="A249" s="7" t="s">
        <v>146</v>
      </c>
      <c r="B249" s="7" t="s">
        <v>262</v>
      </c>
      <c r="C249" s="7" t="str">
        <f t="shared" si="10"/>
        <v>男</v>
      </c>
      <c r="D249" s="7" t="str">
        <f>"411325199611260031"</f>
        <v>411325199611260031</v>
      </c>
      <c r="E249" s="8" t="str">
        <f>"10960040906"</f>
        <v>10960040906</v>
      </c>
      <c r="F249" s="7" t="str">
        <f t="shared" si="12"/>
        <v>09</v>
      </c>
      <c r="G249" s="10" t="s">
        <v>263</v>
      </c>
      <c r="H249" s="7" t="s">
        <v>13</v>
      </c>
      <c r="I249" s="7">
        <v>79.3</v>
      </c>
      <c r="J249" s="9"/>
    </row>
    <row r="250" ht="14.25" spans="1:10">
      <c r="A250" s="7" t="s">
        <v>146</v>
      </c>
      <c r="B250" s="7" t="s">
        <v>264</v>
      </c>
      <c r="C250" s="7" t="str">
        <f t="shared" si="10"/>
        <v>女</v>
      </c>
      <c r="D250" s="7" t="str">
        <f>"411325199411010863"</f>
        <v>411325199411010863</v>
      </c>
      <c r="E250" s="8" t="str">
        <f>"10960040907"</f>
        <v>10960040907</v>
      </c>
      <c r="F250" s="7" t="str">
        <f t="shared" si="12"/>
        <v>09</v>
      </c>
      <c r="G250" s="7" t="str">
        <f>"07"</f>
        <v>07</v>
      </c>
      <c r="H250" s="7" t="s">
        <v>13</v>
      </c>
      <c r="I250" s="7" t="s">
        <v>14</v>
      </c>
      <c r="J250" s="9"/>
    </row>
    <row r="251" ht="14.25" spans="1:10">
      <c r="A251" s="7" t="s">
        <v>146</v>
      </c>
      <c r="B251" s="7" t="s">
        <v>265</v>
      </c>
      <c r="C251" s="7" t="str">
        <f t="shared" si="10"/>
        <v>女</v>
      </c>
      <c r="D251" s="7" t="str">
        <f>"411302199503210024"</f>
        <v>411302199503210024</v>
      </c>
      <c r="E251" s="8" t="str">
        <f>"10960040908"</f>
        <v>10960040908</v>
      </c>
      <c r="F251" s="7" t="str">
        <f t="shared" si="12"/>
        <v>09</v>
      </c>
      <c r="G251" s="7" t="str">
        <f>"08"</f>
        <v>08</v>
      </c>
      <c r="H251" s="7" t="s">
        <v>13</v>
      </c>
      <c r="I251" s="7" t="s">
        <v>14</v>
      </c>
      <c r="J251" s="9"/>
    </row>
    <row r="252" ht="14.25" spans="1:10">
      <c r="A252" s="7" t="s">
        <v>146</v>
      </c>
      <c r="B252" s="7" t="s">
        <v>266</v>
      </c>
      <c r="C252" s="7" t="str">
        <f t="shared" si="10"/>
        <v>男</v>
      </c>
      <c r="D252" s="7" t="str">
        <f>"411328199308010696"</f>
        <v>411328199308010696</v>
      </c>
      <c r="E252" s="8" t="str">
        <f>"10960040909"</f>
        <v>10960040909</v>
      </c>
      <c r="F252" s="7" t="str">
        <f t="shared" si="12"/>
        <v>09</v>
      </c>
      <c r="G252" s="7" t="str">
        <f>"09"</f>
        <v>09</v>
      </c>
      <c r="H252" s="7" t="s">
        <v>13</v>
      </c>
      <c r="I252" s="7" t="s">
        <v>14</v>
      </c>
      <c r="J252" s="9"/>
    </row>
    <row r="253" ht="14.25" spans="1:10">
      <c r="A253" s="7" t="s">
        <v>146</v>
      </c>
      <c r="B253" s="7" t="s">
        <v>267</v>
      </c>
      <c r="C253" s="7" t="str">
        <f t="shared" si="10"/>
        <v>女</v>
      </c>
      <c r="D253" s="7" t="str">
        <f>"411325199009210429"</f>
        <v>411325199009210429</v>
      </c>
      <c r="E253" s="8" t="str">
        <f>"10960040910"</f>
        <v>10960040910</v>
      </c>
      <c r="F253" s="7" t="str">
        <f t="shared" si="12"/>
        <v>09</v>
      </c>
      <c r="G253" s="7" t="str">
        <f>"10"</f>
        <v>10</v>
      </c>
      <c r="H253" s="7" t="s">
        <v>13</v>
      </c>
      <c r="I253" s="7">
        <v>60.3</v>
      </c>
      <c r="J253" s="9"/>
    </row>
    <row r="254" ht="14.25" spans="1:10">
      <c r="A254" s="7" t="s">
        <v>146</v>
      </c>
      <c r="B254" s="7" t="s">
        <v>268</v>
      </c>
      <c r="C254" s="7" t="str">
        <f t="shared" si="10"/>
        <v>女</v>
      </c>
      <c r="D254" s="7" t="str">
        <f>"411325199609140428"</f>
        <v>411325199609140428</v>
      </c>
      <c r="E254" s="8" t="str">
        <f>"10960040911"</f>
        <v>10960040911</v>
      </c>
      <c r="F254" s="7" t="str">
        <f t="shared" si="12"/>
        <v>09</v>
      </c>
      <c r="G254" s="7" t="str">
        <f>"11"</f>
        <v>11</v>
      </c>
      <c r="H254" s="7" t="s">
        <v>13</v>
      </c>
      <c r="I254" s="7" t="s">
        <v>14</v>
      </c>
      <c r="J254" s="9"/>
    </row>
    <row r="255" ht="14.25" spans="1:10">
      <c r="A255" s="7" t="s">
        <v>146</v>
      </c>
      <c r="B255" s="7" t="s">
        <v>269</v>
      </c>
      <c r="C255" s="7" t="str">
        <f t="shared" si="10"/>
        <v>女</v>
      </c>
      <c r="D255" s="7" t="str">
        <f>"411325199608160427"</f>
        <v>411325199608160427</v>
      </c>
      <c r="E255" s="8" t="str">
        <f>"10960040912"</f>
        <v>10960040912</v>
      </c>
      <c r="F255" s="7" t="str">
        <f t="shared" si="12"/>
        <v>09</v>
      </c>
      <c r="G255" s="7" t="str">
        <f>"12"</f>
        <v>12</v>
      </c>
      <c r="H255" s="7" t="s">
        <v>13</v>
      </c>
      <c r="I255" s="7" t="s">
        <v>14</v>
      </c>
      <c r="J255" s="9"/>
    </row>
    <row r="256" ht="14.25" spans="1:10">
      <c r="A256" s="7" t="s">
        <v>146</v>
      </c>
      <c r="B256" s="7" t="s">
        <v>270</v>
      </c>
      <c r="C256" s="7" t="str">
        <f t="shared" si="10"/>
        <v>女</v>
      </c>
      <c r="D256" s="7" t="str">
        <f>"411325199607191328"</f>
        <v>411325199607191328</v>
      </c>
      <c r="E256" s="8" t="str">
        <f>"10960040913"</f>
        <v>10960040913</v>
      </c>
      <c r="F256" s="7" t="str">
        <f t="shared" si="12"/>
        <v>09</v>
      </c>
      <c r="G256" s="7" t="str">
        <f>"13"</f>
        <v>13</v>
      </c>
      <c r="H256" s="7" t="s">
        <v>13</v>
      </c>
      <c r="I256" s="7">
        <v>57.2</v>
      </c>
      <c r="J256" s="9"/>
    </row>
    <row r="257" ht="14.25" spans="1:10">
      <c r="A257" s="7" t="s">
        <v>146</v>
      </c>
      <c r="B257" s="7" t="s">
        <v>271</v>
      </c>
      <c r="C257" s="7" t="str">
        <f t="shared" si="10"/>
        <v>女</v>
      </c>
      <c r="D257" s="7" t="str">
        <f>"411325199404250420"</f>
        <v>411325199404250420</v>
      </c>
      <c r="E257" s="8" t="str">
        <f>"10960040914"</f>
        <v>10960040914</v>
      </c>
      <c r="F257" s="7" t="str">
        <f t="shared" si="12"/>
        <v>09</v>
      </c>
      <c r="G257" s="7">
        <v>14</v>
      </c>
      <c r="H257" s="7" t="s">
        <v>13</v>
      </c>
      <c r="I257" s="7">
        <v>59.6</v>
      </c>
      <c r="J257" s="9"/>
    </row>
    <row r="258" ht="14.25" spans="1:10">
      <c r="A258" s="7" t="s">
        <v>146</v>
      </c>
      <c r="B258" s="7" t="s">
        <v>272</v>
      </c>
      <c r="C258" s="7" t="str">
        <f t="shared" si="10"/>
        <v>女</v>
      </c>
      <c r="D258" s="7" t="str">
        <f>"411325199601220028"</f>
        <v>411325199601220028</v>
      </c>
      <c r="E258" s="8" t="str">
        <f>"10960040915"</f>
        <v>10960040915</v>
      </c>
      <c r="F258" s="7" t="str">
        <f t="shared" si="12"/>
        <v>09</v>
      </c>
      <c r="G258" s="7" t="str">
        <f>"15"</f>
        <v>15</v>
      </c>
      <c r="H258" s="7" t="s">
        <v>13</v>
      </c>
      <c r="I258" s="7">
        <v>54.5</v>
      </c>
      <c r="J258" s="9"/>
    </row>
    <row r="259" ht="14.25" spans="1:10">
      <c r="A259" s="7" t="s">
        <v>146</v>
      </c>
      <c r="B259" s="7" t="s">
        <v>273</v>
      </c>
      <c r="C259" s="7" t="str">
        <f t="shared" si="10"/>
        <v>女</v>
      </c>
      <c r="D259" s="7" t="str">
        <f>"411322199701200025"</f>
        <v>411322199701200025</v>
      </c>
      <c r="E259" s="8" t="str">
        <f>"10960040916"</f>
        <v>10960040916</v>
      </c>
      <c r="F259" s="7" t="str">
        <f t="shared" si="12"/>
        <v>09</v>
      </c>
      <c r="G259" s="7" t="str">
        <f>"16"</f>
        <v>16</v>
      </c>
      <c r="H259" s="7" t="s">
        <v>13</v>
      </c>
      <c r="I259" s="7">
        <v>79</v>
      </c>
      <c r="J259" s="9"/>
    </row>
    <row r="260" ht="14.25" spans="1:10">
      <c r="A260" s="7" t="s">
        <v>146</v>
      </c>
      <c r="B260" s="7" t="s">
        <v>274</v>
      </c>
      <c r="C260" s="7" t="str">
        <f t="shared" ref="C260:C323" si="13">IF(MOD(MID(D260,17,1),2),"男","女")</f>
        <v>女</v>
      </c>
      <c r="D260" s="7" t="str">
        <f>"411325199708200027"</f>
        <v>411325199708200027</v>
      </c>
      <c r="E260" s="8" t="str">
        <f>"10960040917"</f>
        <v>10960040917</v>
      </c>
      <c r="F260" s="7" t="str">
        <f t="shared" si="12"/>
        <v>09</v>
      </c>
      <c r="G260" s="7" t="str">
        <f>"17"</f>
        <v>17</v>
      </c>
      <c r="H260" s="7" t="s">
        <v>13</v>
      </c>
      <c r="I260" s="7">
        <v>58.8</v>
      </c>
      <c r="J260" s="9"/>
    </row>
    <row r="261" ht="14.25" spans="1:10">
      <c r="A261" s="7" t="s">
        <v>146</v>
      </c>
      <c r="B261" s="7" t="s">
        <v>275</v>
      </c>
      <c r="C261" s="7" t="str">
        <f t="shared" si="13"/>
        <v>女</v>
      </c>
      <c r="D261" s="7" t="str">
        <f>"411321199602130029"</f>
        <v>411321199602130029</v>
      </c>
      <c r="E261" s="8" t="str">
        <f>"10960040918"</f>
        <v>10960040918</v>
      </c>
      <c r="F261" s="7" t="str">
        <f t="shared" si="12"/>
        <v>09</v>
      </c>
      <c r="G261" s="7" t="str">
        <f>"18"</f>
        <v>18</v>
      </c>
      <c r="H261" s="7" t="s">
        <v>13</v>
      </c>
      <c r="I261" s="7" t="s">
        <v>14</v>
      </c>
      <c r="J261" s="9"/>
    </row>
    <row r="262" ht="14.25" spans="1:10">
      <c r="A262" s="7" t="s">
        <v>146</v>
      </c>
      <c r="B262" s="7" t="s">
        <v>276</v>
      </c>
      <c r="C262" s="7" t="str">
        <f t="shared" si="13"/>
        <v>女</v>
      </c>
      <c r="D262" s="7" t="str">
        <f>"41132519961217002X"</f>
        <v>41132519961217002X</v>
      </c>
      <c r="E262" s="8" t="str">
        <f>"10960040919"</f>
        <v>10960040919</v>
      </c>
      <c r="F262" s="7" t="str">
        <f t="shared" si="12"/>
        <v>09</v>
      </c>
      <c r="G262" s="7" t="str">
        <f>"19"</f>
        <v>19</v>
      </c>
      <c r="H262" s="7" t="s">
        <v>13</v>
      </c>
      <c r="I262" s="7">
        <v>64.2</v>
      </c>
      <c r="J262" s="9"/>
    </row>
    <row r="263" ht="14.25" spans="1:10">
      <c r="A263" s="7" t="s">
        <v>146</v>
      </c>
      <c r="B263" s="7" t="s">
        <v>277</v>
      </c>
      <c r="C263" s="7" t="str">
        <f t="shared" si="13"/>
        <v>女</v>
      </c>
      <c r="D263" s="7" t="str">
        <f>"411325199210084145"</f>
        <v>411325199210084145</v>
      </c>
      <c r="E263" s="8" t="str">
        <f>"10960040920"</f>
        <v>10960040920</v>
      </c>
      <c r="F263" s="7" t="str">
        <f t="shared" si="12"/>
        <v>09</v>
      </c>
      <c r="G263" s="7" t="str">
        <f>"20"</f>
        <v>20</v>
      </c>
      <c r="H263" s="7" t="s">
        <v>13</v>
      </c>
      <c r="I263" s="7">
        <v>70.3</v>
      </c>
      <c r="J263" s="9"/>
    </row>
    <row r="264" ht="14.25" spans="1:10">
      <c r="A264" s="7" t="s">
        <v>146</v>
      </c>
      <c r="B264" s="7" t="s">
        <v>278</v>
      </c>
      <c r="C264" s="7" t="str">
        <f t="shared" si="13"/>
        <v>女</v>
      </c>
      <c r="D264" s="7" t="str">
        <f>"411325199210011923"</f>
        <v>411325199210011923</v>
      </c>
      <c r="E264" s="8" t="str">
        <f>"10960040921"</f>
        <v>10960040921</v>
      </c>
      <c r="F264" s="7" t="str">
        <f t="shared" si="12"/>
        <v>09</v>
      </c>
      <c r="G264" s="7" t="str">
        <f>"21"</f>
        <v>21</v>
      </c>
      <c r="H264" s="7" t="s">
        <v>13</v>
      </c>
      <c r="I264" s="7">
        <v>60.4</v>
      </c>
      <c r="J264" s="9"/>
    </row>
    <row r="265" ht="14.25" spans="1:10">
      <c r="A265" s="7" t="s">
        <v>146</v>
      </c>
      <c r="B265" s="7" t="s">
        <v>279</v>
      </c>
      <c r="C265" s="7" t="str">
        <f t="shared" si="13"/>
        <v>男</v>
      </c>
      <c r="D265" s="7" t="str">
        <f>"411325199001132956"</f>
        <v>411325199001132956</v>
      </c>
      <c r="E265" s="8" t="str">
        <f>"10960040922"</f>
        <v>10960040922</v>
      </c>
      <c r="F265" s="7" t="str">
        <f t="shared" si="12"/>
        <v>09</v>
      </c>
      <c r="G265" s="7" t="str">
        <f>"22"</f>
        <v>22</v>
      </c>
      <c r="H265" s="7" t="s">
        <v>13</v>
      </c>
      <c r="I265" s="7">
        <v>64.9</v>
      </c>
      <c r="J265" s="9"/>
    </row>
    <row r="266" ht="14.25" spans="1:10">
      <c r="A266" s="7" t="s">
        <v>146</v>
      </c>
      <c r="B266" s="7" t="s">
        <v>280</v>
      </c>
      <c r="C266" s="7" t="str">
        <f t="shared" si="13"/>
        <v>男</v>
      </c>
      <c r="D266" s="7" t="str">
        <f>"411323199610131737"</f>
        <v>411323199610131737</v>
      </c>
      <c r="E266" s="8" t="str">
        <f>"10960040923"</f>
        <v>10960040923</v>
      </c>
      <c r="F266" s="7" t="str">
        <f t="shared" si="12"/>
        <v>09</v>
      </c>
      <c r="G266" s="7" t="str">
        <f>"23"</f>
        <v>23</v>
      </c>
      <c r="H266" s="7" t="s">
        <v>13</v>
      </c>
      <c r="I266" s="7" t="s">
        <v>14</v>
      </c>
      <c r="J266" s="9"/>
    </row>
    <row r="267" ht="14.25" spans="1:10">
      <c r="A267" s="7" t="s">
        <v>146</v>
      </c>
      <c r="B267" s="7" t="s">
        <v>281</v>
      </c>
      <c r="C267" s="7" t="str">
        <f t="shared" si="13"/>
        <v>男</v>
      </c>
      <c r="D267" s="7" t="str">
        <f>"411329199511060054"</f>
        <v>411329199511060054</v>
      </c>
      <c r="E267" s="8" t="str">
        <f>"10960040924"</f>
        <v>10960040924</v>
      </c>
      <c r="F267" s="7" t="str">
        <f t="shared" si="12"/>
        <v>09</v>
      </c>
      <c r="G267" s="7" t="str">
        <f>"24"</f>
        <v>24</v>
      </c>
      <c r="H267" s="7" t="s">
        <v>13</v>
      </c>
      <c r="I267" s="7">
        <v>60.5</v>
      </c>
      <c r="J267" s="9"/>
    </row>
    <row r="268" ht="14.25" spans="1:10">
      <c r="A268" s="7" t="s">
        <v>146</v>
      </c>
      <c r="B268" s="7" t="s">
        <v>282</v>
      </c>
      <c r="C268" s="7" t="str">
        <f t="shared" si="13"/>
        <v>男</v>
      </c>
      <c r="D268" s="7" t="str">
        <f>"411330199412101557"</f>
        <v>411330199412101557</v>
      </c>
      <c r="E268" s="8" t="str">
        <f>"10960040925"</f>
        <v>10960040925</v>
      </c>
      <c r="F268" s="7" t="str">
        <f t="shared" si="12"/>
        <v>09</v>
      </c>
      <c r="G268" s="7">
        <v>25</v>
      </c>
      <c r="H268" s="7" t="s">
        <v>13</v>
      </c>
      <c r="I268" s="7" t="s">
        <v>14</v>
      </c>
      <c r="J268" s="9"/>
    </row>
    <row r="269" ht="14.25" spans="1:10">
      <c r="A269" s="7" t="s">
        <v>146</v>
      </c>
      <c r="B269" s="7" t="s">
        <v>283</v>
      </c>
      <c r="C269" s="7" t="str">
        <f t="shared" si="13"/>
        <v>女</v>
      </c>
      <c r="D269" s="7" t="str">
        <f>"411325199812040027"</f>
        <v>411325199812040027</v>
      </c>
      <c r="E269" s="8" t="str">
        <f>"10960040926"</f>
        <v>10960040926</v>
      </c>
      <c r="F269" s="7" t="str">
        <f t="shared" si="12"/>
        <v>09</v>
      </c>
      <c r="G269" s="7">
        <v>26</v>
      </c>
      <c r="H269" s="7" t="s">
        <v>13</v>
      </c>
      <c r="I269" s="7">
        <v>66.5</v>
      </c>
      <c r="J269" s="9"/>
    </row>
    <row r="270" ht="14.25" spans="1:10">
      <c r="A270" s="7" t="s">
        <v>146</v>
      </c>
      <c r="B270" s="7" t="s">
        <v>284</v>
      </c>
      <c r="C270" s="7" t="str">
        <f t="shared" si="13"/>
        <v>女</v>
      </c>
      <c r="D270" s="7" t="str">
        <f>"411321199602110343"</f>
        <v>411321199602110343</v>
      </c>
      <c r="E270" s="8" t="str">
        <f>"10960040927"</f>
        <v>10960040927</v>
      </c>
      <c r="F270" s="7" t="str">
        <f t="shared" si="12"/>
        <v>09</v>
      </c>
      <c r="G270" s="7" t="str">
        <f>"27"</f>
        <v>27</v>
      </c>
      <c r="H270" s="7" t="s">
        <v>45</v>
      </c>
      <c r="I270" s="7" t="s">
        <v>14</v>
      </c>
      <c r="J270" s="9"/>
    </row>
    <row r="271" ht="14.25" spans="1:10">
      <c r="A271" s="7" t="s">
        <v>146</v>
      </c>
      <c r="B271" s="7" t="s">
        <v>285</v>
      </c>
      <c r="C271" s="7" t="str">
        <f t="shared" si="13"/>
        <v>女</v>
      </c>
      <c r="D271" s="7" t="str">
        <f>"41132519960919002X"</f>
        <v>41132519960919002X</v>
      </c>
      <c r="E271" s="8" t="str">
        <f>"10960040928"</f>
        <v>10960040928</v>
      </c>
      <c r="F271" s="7" t="str">
        <f t="shared" si="12"/>
        <v>09</v>
      </c>
      <c r="G271" s="7" t="str">
        <f>"28"</f>
        <v>28</v>
      </c>
      <c r="H271" s="7" t="s">
        <v>45</v>
      </c>
      <c r="I271" s="7">
        <v>54.8</v>
      </c>
      <c r="J271" s="9"/>
    </row>
    <row r="272" ht="14.25" spans="1:10">
      <c r="A272" s="7" t="s">
        <v>146</v>
      </c>
      <c r="B272" s="7" t="s">
        <v>286</v>
      </c>
      <c r="C272" s="7" t="str">
        <f t="shared" si="13"/>
        <v>男</v>
      </c>
      <c r="D272" s="7" t="str">
        <f>"411528199505106591"</f>
        <v>411528199505106591</v>
      </c>
      <c r="E272" s="8" t="str">
        <f>"10960040929"</f>
        <v>10960040929</v>
      </c>
      <c r="F272" s="7" t="str">
        <f t="shared" si="12"/>
        <v>09</v>
      </c>
      <c r="G272" s="7" t="str">
        <f>"29"</f>
        <v>29</v>
      </c>
      <c r="H272" s="7" t="s">
        <v>45</v>
      </c>
      <c r="I272" s="7" t="s">
        <v>14</v>
      </c>
      <c r="J272" s="9"/>
    </row>
    <row r="273" ht="14.25" spans="1:10">
      <c r="A273" s="7" t="s">
        <v>146</v>
      </c>
      <c r="B273" s="7" t="s">
        <v>287</v>
      </c>
      <c r="C273" s="7" t="str">
        <f t="shared" si="13"/>
        <v>女</v>
      </c>
      <c r="D273" s="7" t="str">
        <f>"411328199605046783"</f>
        <v>411328199605046783</v>
      </c>
      <c r="E273" s="8" t="str">
        <f>"10960040930"</f>
        <v>10960040930</v>
      </c>
      <c r="F273" s="7" t="str">
        <f t="shared" si="12"/>
        <v>09</v>
      </c>
      <c r="G273" s="7" t="str">
        <f>"30"</f>
        <v>30</v>
      </c>
      <c r="H273" s="7" t="s">
        <v>45</v>
      </c>
      <c r="I273" s="7" t="s">
        <v>14</v>
      </c>
      <c r="J273" s="9"/>
    </row>
    <row r="274" ht="14.25" spans="1:10">
      <c r="A274" s="7" t="s">
        <v>146</v>
      </c>
      <c r="B274" s="7" t="s">
        <v>288</v>
      </c>
      <c r="C274" s="7" t="str">
        <f t="shared" si="13"/>
        <v>女</v>
      </c>
      <c r="D274" s="7" t="str">
        <f>"411302199810062842"</f>
        <v>411302199810062842</v>
      </c>
      <c r="E274" s="8" t="str">
        <f>"10960041001"</f>
        <v>10960041001</v>
      </c>
      <c r="F274" s="7" t="str">
        <f t="shared" ref="F274:F303" si="14">"10"</f>
        <v>10</v>
      </c>
      <c r="G274" s="7" t="str">
        <f>"01"</f>
        <v>01</v>
      </c>
      <c r="H274" s="7" t="s">
        <v>45</v>
      </c>
      <c r="I274" s="7">
        <v>69.9</v>
      </c>
      <c r="J274" s="9"/>
    </row>
    <row r="275" ht="14.25" spans="1:10">
      <c r="A275" s="7" t="s">
        <v>146</v>
      </c>
      <c r="B275" s="7" t="s">
        <v>289</v>
      </c>
      <c r="C275" s="7" t="str">
        <f t="shared" si="13"/>
        <v>女</v>
      </c>
      <c r="D275" s="7" t="str">
        <f>"41132119961218002X"</f>
        <v>41132119961218002X</v>
      </c>
      <c r="E275" s="8" t="str">
        <f>"10960041002"</f>
        <v>10960041002</v>
      </c>
      <c r="F275" s="7" t="str">
        <f t="shared" si="14"/>
        <v>10</v>
      </c>
      <c r="G275" s="7" t="str">
        <f>"02"</f>
        <v>02</v>
      </c>
      <c r="H275" s="7" t="s">
        <v>45</v>
      </c>
      <c r="I275" s="7" t="s">
        <v>14</v>
      </c>
      <c r="J275" s="9"/>
    </row>
    <row r="276" ht="14.25" spans="1:10">
      <c r="A276" s="7" t="s">
        <v>146</v>
      </c>
      <c r="B276" s="7" t="s">
        <v>290</v>
      </c>
      <c r="C276" s="7" t="str">
        <f t="shared" si="13"/>
        <v>女</v>
      </c>
      <c r="D276" s="7" t="str">
        <f>"412827199703246027"</f>
        <v>412827199703246027</v>
      </c>
      <c r="E276" s="8" t="str">
        <f>"10960041003"</f>
        <v>10960041003</v>
      </c>
      <c r="F276" s="7" t="str">
        <f t="shared" si="14"/>
        <v>10</v>
      </c>
      <c r="G276" s="7" t="str">
        <f>"03"</f>
        <v>03</v>
      </c>
      <c r="H276" s="7" t="s">
        <v>45</v>
      </c>
      <c r="I276" s="7" t="s">
        <v>14</v>
      </c>
      <c r="J276" s="9"/>
    </row>
    <row r="277" ht="14.25" spans="1:10">
      <c r="A277" s="7" t="s">
        <v>146</v>
      </c>
      <c r="B277" s="7" t="s">
        <v>291</v>
      </c>
      <c r="C277" s="7" t="str">
        <f t="shared" si="13"/>
        <v>女</v>
      </c>
      <c r="D277" s="7" t="str">
        <f>"411323199605056322"</f>
        <v>411323199605056322</v>
      </c>
      <c r="E277" s="8" t="str">
        <f>"10960041004"</f>
        <v>10960041004</v>
      </c>
      <c r="F277" s="7" t="str">
        <f t="shared" si="14"/>
        <v>10</v>
      </c>
      <c r="G277" s="7" t="str">
        <f>"04"</f>
        <v>04</v>
      </c>
      <c r="H277" s="7" t="s">
        <v>45</v>
      </c>
      <c r="I277" s="7" t="s">
        <v>14</v>
      </c>
      <c r="J277" s="9"/>
    </row>
    <row r="278" ht="14.25" spans="1:10">
      <c r="A278" s="7" t="s">
        <v>146</v>
      </c>
      <c r="B278" s="7" t="s">
        <v>292</v>
      </c>
      <c r="C278" s="7" t="str">
        <f t="shared" si="13"/>
        <v>女</v>
      </c>
      <c r="D278" s="7" t="str">
        <f>"411321199204250041"</f>
        <v>411321199204250041</v>
      </c>
      <c r="E278" s="8" t="str">
        <f>"10960041005"</f>
        <v>10960041005</v>
      </c>
      <c r="F278" s="7" t="str">
        <f t="shared" si="14"/>
        <v>10</v>
      </c>
      <c r="G278" s="7" t="str">
        <f>"05"</f>
        <v>05</v>
      </c>
      <c r="H278" s="7" t="s">
        <v>45</v>
      </c>
      <c r="I278" s="7">
        <v>75.3</v>
      </c>
      <c r="J278" s="9"/>
    </row>
    <row r="279" ht="14.25" spans="1:10">
      <c r="A279" s="7" t="s">
        <v>146</v>
      </c>
      <c r="B279" s="7" t="s">
        <v>293</v>
      </c>
      <c r="C279" s="7" t="str">
        <f t="shared" si="13"/>
        <v>女</v>
      </c>
      <c r="D279" s="7" t="str">
        <f>"410603199205030529"</f>
        <v>410603199205030529</v>
      </c>
      <c r="E279" s="8" t="str">
        <f>"10960041006"</f>
        <v>10960041006</v>
      </c>
      <c r="F279" s="7" t="str">
        <f t="shared" si="14"/>
        <v>10</v>
      </c>
      <c r="G279" s="7" t="str">
        <f>"06"</f>
        <v>06</v>
      </c>
      <c r="H279" s="7" t="s">
        <v>45</v>
      </c>
      <c r="I279" s="7" t="s">
        <v>14</v>
      </c>
      <c r="J279" s="9"/>
    </row>
    <row r="280" ht="14.25" spans="1:10">
      <c r="A280" s="7" t="s">
        <v>146</v>
      </c>
      <c r="B280" s="7" t="s">
        <v>294</v>
      </c>
      <c r="C280" s="7" t="str">
        <f t="shared" si="13"/>
        <v>男</v>
      </c>
      <c r="D280" s="7" t="str">
        <f>"411528199508117157"</f>
        <v>411528199508117157</v>
      </c>
      <c r="E280" s="8" t="str">
        <f>"10960041007"</f>
        <v>10960041007</v>
      </c>
      <c r="F280" s="7" t="str">
        <f t="shared" si="14"/>
        <v>10</v>
      </c>
      <c r="G280" s="7" t="str">
        <f>"07"</f>
        <v>07</v>
      </c>
      <c r="H280" s="7" t="s">
        <v>45</v>
      </c>
      <c r="I280" s="7" t="s">
        <v>14</v>
      </c>
      <c r="J280" s="9"/>
    </row>
    <row r="281" ht="14.25" spans="1:10">
      <c r="A281" s="7" t="s">
        <v>146</v>
      </c>
      <c r="B281" s="7" t="s">
        <v>295</v>
      </c>
      <c r="C281" s="7" t="str">
        <f t="shared" si="13"/>
        <v>男</v>
      </c>
      <c r="D281" s="7" t="str">
        <f>"130123199711287555"</f>
        <v>130123199711287555</v>
      </c>
      <c r="E281" s="8" t="str">
        <f>"10960041008"</f>
        <v>10960041008</v>
      </c>
      <c r="F281" s="7" t="str">
        <f t="shared" si="14"/>
        <v>10</v>
      </c>
      <c r="G281" s="7" t="str">
        <f>"08"</f>
        <v>08</v>
      </c>
      <c r="H281" s="7" t="s">
        <v>45</v>
      </c>
      <c r="I281" s="7">
        <v>56.4</v>
      </c>
      <c r="J281" s="9"/>
    </row>
    <row r="282" ht="14.25" spans="1:10">
      <c r="A282" s="7" t="s">
        <v>146</v>
      </c>
      <c r="B282" s="7" t="s">
        <v>296</v>
      </c>
      <c r="C282" s="7" t="str">
        <f t="shared" si="13"/>
        <v>女</v>
      </c>
      <c r="D282" s="7" t="str">
        <f>"411321199502050320"</f>
        <v>411321199502050320</v>
      </c>
      <c r="E282" s="8" t="str">
        <f>"10960041009"</f>
        <v>10960041009</v>
      </c>
      <c r="F282" s="7" t="str">
        <f t="shared" si="14"/>
        <v>10</v>
      </c>
      <c r="G282" s="7" t="str">
        <f>"09"</f>
        <v>09</v>
      </c>
      <c r="H282" s="7" t="s">
        <v>45</v>
      </c>
      <c r="I282" s="7" t="s">
        <v>14</v>
      </c>
      <c r="J282" s="9"/>
    </row>
    <row r="283" ht="14.25" spans="1:10">
      <c r="A283" s="7" t="s">
        <v>146</v>
      </c>
      <c r="B283" s="7" t="s">
        <v>297</v>
      </c>
      <c r="C283" s="7" t="str">
        <f t="shared" si="13"/>
        <v>女</v>
      </c>
      <c r="D283" s="7" t="str">
        <f>"411302199612172821"</f>
        <v>411302199612172821</v>
      </c>
      <c r="E283" s="8" t="str">
        <f>"10960041010"</f>
        <v>10960041010</v>
      </c>
      <c r="F283" s="7" t="str">
        <f t="shared" si="14"/>
        <v>10</v>
      </c>
      <c r="G283" s="7" t="str">
        <f>"10"</f>
        <v>10</v>
      </c>
      <c r="H283" s="7" t="s">
        <v>45</v>
      </c>
      <c r="I283" s="7">
        <v>74.1</v>
      </c>
      <c r="J283" s="9"/>
    </row>
    <row r="284" ht="14.25" spans="1:10">
      <c r="A284" s="7" t="s">
        <v>146</v>
      </c>
      <c r="B284" s="7" t="s">
        <v>298</v>
      </c>
      <c r="C284" s="7" t="str">
        <f t="shared" si="13"/>
        <v>男</v>
      </c>
      <c r="D284" s="7" t="str">
        <f>"411381199612040613"</f>
        <v>411381199612040613</v>
      </c>
      <c r="E284" s="8" t="str">
        <f>"10960041011"</f>
        <v>10960041011</v>
      </c>
      <c r="F284" s="7" t="str">
        <f t="shared" si="14"/>
        <v>10</v>
      </c>
      <c r="G284" s="7" t="str">
        <f>"11"</f>
        <v>11</v>
      </c>
      <c r="H284" s="7" t="s">
        <v>45</v>
      </c>
      <c r="I284" s="7" t="s">
        <v>14</v>
      </c>
      <c r="J284" s="9"/>
    </row>
    <row r="285" ht="14.25" spans="1:10">
      <c r="A285" s="7" t="s">
        <v>146</v>
      </c>
      <c r="B285" s="7" t="s">
        <v>299</v>
      </c>
      <c r="C285" s="7" t="str">
        <f t="shared" si="13"/>
        <v>女</v>
      </c>
      <c r="D285" s="7" t="str">
        <f>"41130219961106372X"</f>
        <v>41130219961106372X</v>
      </c>
      <c r="E285" s="8" t="str">
        <f>"10960041012"</f>
        <v>10960041012</v>
      </c>
      <c r="F285" s="7" t="str">
        <f t="shared" si="14"/>
        <v>10</v>
      </c>
      <c r="G285" s="7" t="str">
        <f>"12"</f>
        <v>12</v>
      </c>
      <c r="H285" s="7" t="s">
        <v>45</v>
      </c>
      <c r="I285" s="7">
        <v>65.4</v>
      </c>
      <c r="J285" s="9"/>
    </row>
    <row r="286" ht="14.25" spans="1:10">
      <c r="A286" s="7" t="s">
        <v>146</v>
      </c>
      <c r="B286" s="7" t="s">
        <v>300</v>
      </c>
      <c r="C286" s="7" t="str">
        <f t="shared" si="13"/>
        <v>女</v>
      </c>
      <c r="D286" s="7" t="str">
        <f>"411326199510220029"</f>
        <v>411326199510220029</v>
      </c>
      <c r="E286" s="8" t="str">
        <f>"10960041013"</f>
        <v>10960041013</v>
      </c>
      <c r="F286" s="7" t="str">
        <f t="shared" si="14"/>
        <v>10</v>
      </c>
      <c r="G286" s="7" t="str">
        <f>"13"</f>
        <v>13</v>
      </c>
      <c r="H286" s="7" t="s">
        <v>45</v>
      </c>
      <c r="I286" s="7">
        <v>64.5</v>
      </c>
      <c r="J286" s="9"/>
    </row>
    <row r="287" ht="14.25" spans="1:10">
      <c r="A287" s="7" t="s">
        <v>146</v>
      </c>
      <c r="B287" s="7" t="s">
        <v>301</v>
      </c>
      <c r="C287" s="7" t="str">
        <f t="shared" si="13"/>
        <v>男</v>
      </c>
      <c r="D287" s="7" t="str">
        <f>"411381199303123052"</f>
        <v>411381199303123052</v>
      </c>
      <c r="E287" s="8" t="str">
        <f>"10960041014"</f>
        <v>10960041014</v>
      </c>
      <c r="F287" s="7" t="str">
        <f t="shared" si="14"/>
        <v>10</v>
      </c>
      <c r="G287" s="7" t="str">
        <f>"14"</f>
        <v>14</v>
      </c>
      <c r="H287" s="7" t="s">
        <v>45</v>
      </c>
      <c r="I287" s="7" t="s">
        <v>14</v>
      </c>
      <c r="J287" s="9"/>
    </row>
    <row r="288" ht="14.25" spans="1:10">
      <c r="A288" s="7" t="s">
        <v>146</v>
      </c>
      <c r="B288" s="7" t="s">
        <v>302</v>
      </c>
      <c r="C288" s="7" t="str">
        <f t="shared" si="13"/>
        <v>女</v>
      </c>
      <c r="D288" s="7" t="str">
        <f>"411325199706257820"</f>
        <v>411325199706257820</v>
      </c>
      <c r="E288" s="8" t="str">
        <f>"10960041015"</f>
        <v>10960041015</v>
      </c>
      <c r="F288" s="7" t="str">
        <f t="shared" si="14"/>
        <v>10</v>
      </c>
      <c r="G288" s="7" t="str">
        <f>"15"</f>
        <v>15</v>
      </c>
      <c r="H288" s="7" t="s">
        <v>45</v>
      </c>
      <c r="I288" s="7" t="s">
        <v>14</v>
      </c>
      <c r="J288" s="9"/>
    </row>
    <row r="289" ht="14.25" spans="1:10">
      <c r="A289" s="7" t="s">
        <v>146</v>
      </c>
      <c r="B289" s="7" t="s">
        <v>303</v>
      </c>
      <c r="C289" s="7" t="str">
        <f t="shared" si="13"/>
        <v>男</v>
      </c>
      <c r="D289" s="7" t="str">
        <f>"411381199509110011"</f>
        <v>411381199509110011</v>
      </c>
      <c r="E289" s="8" t="str">
        <f>"10960041016"</f>
        <v>10960041016</v>
      </c>
      <c r="F289" s="7" t="str">
        <f t="shared" si="14"/>
        <v>10</v>
      </c>
      <c r="G289" s="7" t="str">
        <f>"16"</f>
        <v>16</v>
      </c>
      <c r="H289" s="7" t="s">
        <v>45</v>
      </c>
      <c r="I289" s="7" t="s">
        <v>14</v>
      </c>
      <c r="J289" s="9"/>
    </row>
    <row r="290" ht="14.25" spans="1:10">
      <c r="A290" s="7" t="s">
        <v>146</v>
      </c>
      <c r="B290" s="7" t="s">
        <v>304</v>
      </c>
      <c r="C290" s="7" t="str">
        <f t="shared" si="13"/>
        <v>女</v>
      </c>
      <c r="D290" s="7" t="str">
        <f>"411302199411021824"</f>
        <v>411302199411021824</v>
      </c>
      <c r="E290" s="8" t="str">
        <f>"10960041017"</f>
        <v>10960041017</v>
      </c>
      <c r="F290" s="7" t="str">
        <f t="shared" si="14"/>
        <v>10</v>
      </c>
      <c r="G290" s="7" t="str">
        <f>"17"</f>
        <v>17</v>
      </c>
      <c r="H290" s="7" t="s">
        <v>45</v>
      </c>
      <c r="I290" s="7">
        <v>68.6</v>
      </c>
      <c r="J290" s="9"/>
    </row>
    <row r="291" ht="14.25" spans="1:10">
      <c r="A291" s="7" t="s">
        <v>146</v>
      </c>
      <c r="B291" s="7" t="s">
        <v>305</v>
      </c>
      <c r="C291" s="7" t="str">
        <f t="shared" si="13"/>
        <v>男</v>
      </c>
      <c r="D291" s="7" t="str">
        <f>"411325199811023532"</f>
        <v>411325199811023532</v>
      </c>
      <c r="E291" s="8" t="str">
        <f>"10960041018"</f>
        <v>10960041018</v>
      </c>
      <c r="F291" s="7" t="str">
        <f t="shared" si="14"/>
        <v>10</v>
      </c>
      <c r="G291" s="7" t="str">
        <f>"18"</f>
        <v>18</v>
      </c>
      <c r="H291" s="7" t="s">
        <v>45</v>
      </c>
      <c r="I291" s="7">
        <v>62.9</v>
      </c>
      <c r="J291" s="9"/>
    </row>
    <row r="292" ht="14.25" spans="1:10">
      <c r="A292" s="7" t="s">
        <v>146</v>
      </c>
      <c r="B292" s="7" t="s">
        <v>306</v>
      </c>
      <c r="C292" s="7" t="str">
        <f t="shared" si="13"/>
        <v>女</v>
      </c>
      <c r="D292" s="7" t="str">
        <f>"411381199901266723"</f>
        <v>411381199901266723</v>
      </c>
      <c r="E292" s="8" t="str">
        <f>"10960041019"</f>
        <v>10960041019</v>
      </c>
      <c r="F292" s="7" t="str">
        <f t="shared" si="14"/>
        <v>10</v>
      </c>
      <c r="G292" s="7" t="str">
        <f>"19"</f>
        <v>19</v>
      </c>
      <c r="H292" s="7" t="s">
        <v>45</v>
      </c>
      <c r="I292" s="7">
        <v>69.6</v>
      </c>
      <c r="J292" s="9"/>
    </row>
    <row r="293" ht="14.25" spans="1:10">
      <c r="A293" s="7" t="s">
        <v>146</v>
      </c>
      <c r="B293" s="7" t="s">
        <v>307</v>
      </c>
      <c r="C293" s="7" t="str">
        <f t="shared" si="13"/>
        <v>男</v>
      </c>
      <c r="D293" s="7" t="str">
        <f>"410181199406270010"</f>
        <v>410181199406270010</v>
      </c>
      <c r="E293" s="8" t="str">
        <f>"10960041020"</f>
        <v>10960041020</v>
      </c>
      <c r="F293" s="7" t="str">
        <f t="shared" si="14"/>
        <v>10</v>
      </c>
      <c r="G293" s="7" t="str">
        <f>"20"</f>
        <v>20</v>
      </c>
      <c r="H293" s="7" t="s">
        <v>45</v>
      </c>
      <c r="I293" s="7">
        <v>67.6</v>
      </c>
      <c r="J293" s="9"/>
    </row>
    <row r="294" ht="14.25" spans="1:10">
      <c r="A294" s="7" t="s">
        <v>146</v>
      </c>
      <c r="B294" s="7" t="s">
        <v>308</v>
      </c>
      <c r="C294" s="7" t="str">
        <f t="shared" si="13"/>
        <v>女</v>
      </c>
      <c r="D294" s="7" t="str">
        <f>"411325199711027069"</f>
        <v>411325199711027069</v>
      </c>
      <c r="E294" s="8" t="str">
        <f>"10960041021"</f>
        <v>10960041021</v>
      </c>
      <c r="F294" s="7" t="str">
        <f t="shared" si="14"/>
        <v>10</v>
      </c>
      <c r="G294" s="7" t="str">
        <f>"21"</f>
        <v>21</v>
      </c>
      <c r="H294" s="7" t="s">
        <v>45</v>
      </c>
      <c r="I294" s="7" t="s">
        <v>14</v>
      </c>
      <c r="J294" s="9"/>
    </row>
    <row r="295" ht="14.25" spans="1:10">
      <c r="A295" s="7" t="s">
        <v>146</v>
      </c>
      <c r="B295" s="7" t="s">
        <v>309</v>
      </c>
      <c r="C295" s="7" t="str">
        <f t="shared" si="13"/>
        <v>男</v>
      </c>
      <c r="D295" s="7" t="str">
        <f>"41282219960218075X"</f>
        <v>41282219960218075X</v>
      </c>
      <c r="E295" s="8" t="str">
        <f>"10960041022"</f>
        <v>10960041022</v>
      </c>
      <c r="F295" s="7" t="str">
        <f t="shared" si="14"/>
        <v>10</v>
      </c>
      <c r="G295" s="7" t="str">
        <f>"22"</f>
        <v>22</v>
      </c>
      <c r="H295" s="7" t="s">
        <v>45</v>
      </c>
      <c r="I295" s="7" t="s">
        <v>14</v>
      </c>
      <c r="J295" s="9"/>
    </row>
    <row r="296" ht="14.25" spans="1:10">
      <c r="A296" s="7" t="s">
        <v>146</v>
      </c>
      <c r="B296" s="7" t="s">
        <v>310</v>
      </c>
      <c r="C296" s="7" t="str">
        <f t="shared" si="13"/>
        <v>女</v>
      </c>
      <c r="D296" s="7" t="str">
        <f>"410181199801175021"</f>
        <v>410181199801175021</v>
      </c>
      <c r="E296" s="8" t="str">
        <f>"10960041023"</f>
        <v>10960041023</v>
      </c>
      <c r="F296" s="7" t="str">
        <f t="shared" si="14"/>
        <v>10</v>
      </c>
      <c r="G296" s="7" t="str">
        <f>"23"</f>
        <v>23</v>
      </c>
      <c r="H296" s="7" t="s">
        <v>45</v>
      </c>
      <c r="I296" s="7" t="s">
        <v>14</v>
      </c>
      <c r="J296" s="9"/>
    </row>
    <row r="297" ht="14.25" spans="1:10">
      <c r="A297" s="7" t="s">
        <v>146</v>
      </c>
      <c r="B297" s="7" t="s">
        <v>311</v>
      </c>
      <c r="C297" s="7" t="str">
        <f t="shared" si="13"/>
        <v>男</v>
      </c>
      <c r="D297" s="7" t="str">
        <f>"411123199507258018"</f>
        <v>411123199507258018</v>
      </c>
      <c r="E297" s="8" t="str">
        <f>"10960041024"</f>
        <v>10960041024</v>
      </c>
      <c r="F297" s="7" t="str">
        <f t="shared" si="14"/>
        <v>10</v>
      </c>
      <c r="G297" s="7" t="str">
        <f>"24"</f>
        <v>24</v>
      </c>
      <c r="H297" s="7" t="s">
        <v>45</v>
      </c>
      <c r="I297" s="7" t="s">
        <v>14</v>
      </c>
      <c r="J297" s="9"/>
    </row>
    <row r="298" ht="14.25" spans="1:10">
      <c r="A298" s="7" t="s">
        <v>146</v>
      </c>
      <c r="B298" s="7" t="s">
        <v>312</v>
      </c>
      <c r="C298" s="7" t="str">
        <f t="shared" si="13"/>
        <v>男</v>
      </c>
      <c r="D298" s="7" t="str">
        <f>"412822199805220010"</f>
        <v>412822199805220010</v>
      </c>
      <c r="E298" s="8" t="str">
        <f>"10960041025"</f>
        <v>10960041025</v>
      </c>
      <c r="F298" s="7" t="str">
        <f t="shared" si="14"/>
        <v>10</v>
      </c>
      <c r="G298" s="7" t="str">
        <f>"25"</f>
        <v>25</v>
      </c>
      <c r="H298" s="7" t="s">
        <v>45</v>
      </c>
      <c r="I298" s="7">
        <v>60.1</v>
      </c>
      <c r="J298" s="9"/>
    </row>
    <row r="299" ht="14.25" spans="1:10">
      <c r="A299" s="7" t="s">
        <v>146</v>
      </c>
      <c r="B299" s="7" t="s">
        <v>313</v>
      </c>
      <c r="C299" s="7" t="str">
        <f t="shared" si="13"/>
        <v>女</v>
      </c>
      <c r="D299" s="7" t="str">
        <f>"411325199901292322"</f>
        <v>411325199901292322</v>
      </c>
      <c r="E299" s="8" t="str">
        <f>"10960041026"</f>
        <v>10960041026</v>
      </c>
      <c r="F299" s="7" t="str">
        <f t="shared" si="14"/>
        <v>10</v>
      </c>
      <c r="G299" s="7" t="str">
        <f>"26"</f>
        <v>26</v>
      </c>
      <c r="H299" s="7" t="s">
        <v>45</v>
      </c>
      <c r="I299" s="7">
        <v>66.6</v>
      </c>
      <c r="J299" s="9"/>
    </row>
    <row r="300" ht="14.25" spans="1:10">
      <c r="A300" s="7" t="s">
        <v>146</v>
      </c>
      <c r="B300" s="7" t="s">
        <v>314</v>
      </c>
      <c r="C300" s="7" t="str">
        <f t="shared" si="13"/>
        <v>女</v>
      </c>
      <c r="D300" s="7" t="str">
        <f>"411381199608300427"</f>
        <v>411381199608300427</v>
      </c>
      <c r="E300" s="8" t="str">
        <f>"10960041027"</f>
        <v>10960041027</v>
      </c>
      <c r="F300" s="7" t="str">
        <f t="shared" si="14"/>
        <v>10</v>
      </c>
      <c r="G300" s="7" t="str">
        <f>"27"</f>
        <v>27</v>
      </c>
      <c r="H300" s="7" t="s">
        <v>45</v>
      </c>
      <c r="I300" s="7" t="s">
        <v>14</v>
      </c>
      <c r="J300" s="9"/>
    </row>
    <row r="301" ht="14.25" spans="1:10">
      <c r="A301" s="7" t="s">
        <v>146</v>
      </c>
      <c r="B301" s="7" t="s">
        <v>315</v>
      </c>
      <c r="C301" s="7" t="str">
        <f t="shared" si="13"/>
        <v>女</v>
      </c>
      <c r="D301" s="7" t="str">
        <f>"41130319951005242X"</f>
        <v>41130319951005242X</v>
      </c>
      <c r="E301" s="8" t="str">
        <f>"10960041028"</f>
        <v>10960041028</v>
      </c>
      <c r="F301" s="7" t="str">
        <f t="shared" si="14"/>
        <v>10</v>
      </c>
      <c r="G301" s="7" t="str">
        <f>"28"</f>
        <v>28</v>
      </c>
      <c r="H301" s="7" t="s">
        <v>45</v>
      </c>
      <c r="I301" s="7" t="s">
        <v>14</v>
      </c>
      <c r="J301" s="9"/>
    </row>
    <row r="302" ht="14.25" spans="1:10">
      <c r="A302" s="7" t="s">
        <v>146</v>
      </c>
      <c r="B302" s="7" t="s">
        <v>316</v>
      </c>
      <c r="C302" s="7" t="str">
        <f t="shared" si="13"/>
        <v>男</v>
      </c>
      <c r="D302" s="7" t="str">
        <f>"412822199803203815"</f>
        <v>412822199803203815</v>
      </c>
      <c r="E302" s="8" t="str">
        <f>"10960041029"</f>
        <v>10960041029</v>
      </c>
      <c r="F302" s="7" t="str">
        <f t="shared" si="14"/>
        <v>10</v>
      </c>
      <c r="G302" s="7" t="str">
        <f>"29"</f>
        <v>29</v>
      </c>
      <c r="H302" s="7" t="s">
        <v>45</v>
      </c>
      <c r="I302" s="7" t="s">
        <v>14</v>
      </c>
      <c r="J302" s="9"/>
    </row>
    <row r="303" ht="14.25" spans="1:10">
      <c r="A303" s="7" t="s">
        <v>146</v>
      </c>
      <c r="B303" s="7" t="s">
        <v>317</v>
      </c>
      <c r="C303" s="7" t="str">
        <f t="shared" si="13"/>
        <v>女</v>
      </c>
      <c r="D303" s="7" t="str">
        <f>"410926199612300822"</f>
        <v>410926199612300822</v>
      </c>
      <c r="E303" s="8" t="str">
        <f>"10960041030"</f>
        <v>10960041030</v>
      </c>
      <c r="F303" s="7" t="str">
        <f t="shared" si="14"/>
        <v>10</v>
      </c>
      <c r="G303" s="7" t="str">
        <f>"30"</f>
        <v>30</v>
      </c>
      <c r="H303" s="7" t="s">
        <v>45</v>
      </c>
      <c r="I303" s="7" t="s">
        <v>14</v>
      </c>
      <c r="J303" s="9"/>
    </row>
    <row r="304" ht="14.25" spans="1:10">
      <c r="A304" s="7" t="s">
        <v>146</v>
      </c>
      <c r="B304" s="7" t="s">
        <v>318</v>
      </c>
      <c r="C304" s="7" t="str">
        <f t="shared" si="13"/>
        <v>女</v>
      </c>
      <c r="D304" s="7" t="str">
        <f>"41042319980514732X"</f>
        <v>41042319980514732X</v>
      </c>
      <c r="E304" s="8" t="str">
        <f>"10960041101"</f>
        <v>10960041101</v>
      </c>
      <c r="F304" s="7" t="str">
        <f t="shared" ref="F304:F333" si="15">"11"</f>
        <v>11</v>
      </c>
      <c r="G304" s="7" t="str">
        <f>"01"</f>
        <v>01</v>
      </c>
      <c r="H304" s="7" t="s">
        <v>45</v>
      </c>
      <c r="I304" s="7" t="s">
        <v>14</v>
      </c>
      <c r="J304" s="9"/>
    </row>
    <row r="305" ht="14.25" spans="1:10">
      <c r="A305" s="7" t="s">
        <v>146</v>
      </c>
      <c r="B305" s="7" t="s">
        <v>319</v>
      </c>
      <c r="C305" s="7" t="str">
        <f t="shared" si="13"/>
        <v>女</v>
      </c>
      <c r="D305" s="7" t="str">
        <f>"411323199606200066"</f>
        <v>411323199606200066</v>
      </c>
      <c r="E305" s="8" t="str">
        <f>"10960041102"</f>
        <v>10960041102</v>
      </c>
      <c r="F305" s="7" t="str">
        <f t="shared" si="15"/>
        <v>11</v>
      </c>
      <c r="G305" s="7" t="str">
        <f>"02"</f>
        <v>02</v>
      </c>
      <c r="H305" s="7" t="s">
        <v>45</v>
      </c>
      <c r="I305" s="7" t="s">
        <v>14</v>
      </c>
      <c r="J305" s="9"/>
    </row>
    <row r="306" ht="14.25" spans="1:10">
      <c r="A306" s="7" t="s">
        <v>146</v>
      </c>
      <c r="B306" s="7" t="s">
        <v>320</v>
      </c>
      <c r="C306" s="7" t="str">
        <f t="shared" si="13"/>
        <v>女</v>
      </c>
      <c r="D306" s="7" t="str">
        <f>"411321199312250022"</f>
        <v>411321199312250022</v>
      </c>
      <c r="E306" s="8" t="str">
        <f>"10960041103"</f>
        <v>10960041103</v>
      </c>
      <c r="F306" s="7" t="str">
        <f t="shared" si="15"/>
        <v>11</v>
      </c>
      <c r="G306" s="7" t="str">
        <f>"03"</f>
        <v>03</v>
      </c>
      <c r="H306" s="7" t="s">
        <v>45</v>
      </c>
      <c r="I306" s="7" t="s">
        <v>14</v>
      </c>
      <c r="J306" s="9"/>
    </row>
    <row r="307" ht="14.25" spans="1:10">
      <c r="A307" s="7" t="s">
        <v>146</v>
      </c>
      <c r="B307" s="7" t="s">
        <v>321</v>
      </c>
      <c r="C307" s="7" t="str">
        <f t="shared" si="13"/>
        <v>女</v>
      </c>
      <c r="D307" s="7" t="str">
        <f>"411328199712018227"</f>
        <v>411328199712018227</v>
      </c>
      <c r="E307" s="8" t="str">
        <f>"10960041104"</f>
        <v>10960041104</v>
      </c>
      <c r="F307" s="7" t="str">
        <f t="shared" si="15"/>
        <v>11</v>
      </c>
      <c r="G307" s="7" t="str">
        <f>"04"</f>
        <v>04</v>
      </c>
      <c r="H307" s="7" t="s">
        <v>45</v>
      </c>
      <c r="I307" s="7" t="s">
        <v>14</v>
      </c>
      <c r="J307" s="9"/>
    </row>
    <row r="308" ht="14.25" spans="1:10">
      <c r="A308" s="7" t="s">
        <v>146</v>
      </c>
      <c r="B308" s="7" t="s">
        <v>322</v>
      </c>
      <c r="C308" s="7" t="str">
        <f t="shared" si="13"/>
        <v>男</v>
      </c>
      <c r="D308" s="7" t="str">
        <f>"411526199408200516"</f>
        <v>411526199408200516</v>
      </c>
      <c r="E308" s="8" t="str">
        <f>"10960041105"</f>
        <v>10960041105</v>
      </c>
      <c r="F308" s="7" t="str">
        <f t="shared" si="15"/>
        <v>11</v>
      </c>
      <c r="G308" s="7" t="str">
        <f>"05"</f>
        <v>05</v>
      </c>
      <c r="H308" s="7" t="s">
        <v>45</v>
      </c>
      <c r="I308" s="7" t="s">
        <v>14</v>
      </c>
      <c r="J308" s="9"/>
    </row>
    <row r="309" ht="14.25" spans="1:10">
      <c r="A309" s="7" t="s">
        <v>146</v>
      </c>
      <c r="B309" s="7" t="s">
        <v>323</v>
      </c>
      <c r="C309" s="7" t="str">
        <f t="shared" si="13"/>
        <v>女</v>
      </c>
      <c r="D309" s="7" t="str">
        <f>"411303199612241029"</f>
        <v>411303199612241029</v>
      </c>
      <c r="E309" s="8" t="str">
        <f>"10960041106"</f>
        <v>10960041106</v>
      </c>
      <c r="F309" s="7" t="str">
        <f t="shared" si="15"/>
        <v>11</v>
      </c>
      <c r="G309" s="7" t="str">
        <f>"06"</f>
        <v>06</v>
      </c>
      <c r="H309" s="7" t="s">
        <v>45</v>
      </c>
      <c r="I309" s="7" t="s">
        <v>14</v>
      </c>
      <c r="J309" s="9"/>
    </row>
    <row r="310" ht="14.25" spans="1:10">
      <c r="A310" s="7" t="s">
        <v>146</v>
      </c>
      <c r="B310" s="7" t="s">
        <v>324</v>
      </c>
      <c r="C310" s="7" t="str">
        <f t="shared" si="13"/>
        <v>女</v>
      </c>
      <c r="D310" s="7" t="str">
        <f>"411326199502191520"</f>
        <v>411326199502191520</v>
      </c>
      <c r="E310" s="8" t="str">
        <f>"10960041107"</f>
        <v>10960041107</v>
      </c>
      <c r="F310" s="7" t="str">
        <f t="shared" si="15"/>
        <v>11</v>
      </c>
      <c r="G310" s="7" t="str">
        <f>"07"</f>
        <v>07</v>
      </c>
      <c r="H310" s="7" t="s">
        <v>45</v>
      </c>
      <c r="I310" s="7">
        <v>71.1</v>
      </c>
      <c r="J310" s="9"/>
    </row>
    <row r="311" ht="14.25" spans="1:10">
      <c r="A311" s="7" t="s">
        <v>146</v>
      </c>
      <c r="B311" s="7" t="s">
        <v>325</v>
      </c>
      <c r="C311" s="7" t="str">
        <f t="shared" si="13"/>
        <v>女</v>
      </c>
      <c r="D311" s="7" t="str">
        <f>"411328199803250048"</f>
        <v>411328199803250048</v>
      </c>
      <c r="E311" s="8" t="str">
        <f>"10960041108"</f>
        <v>10960041108</v>
      </c>
      <c r="F311" s="7" t="str">
        <f t="shared" si="15"/>
        <v>11</v>
      </c>
      <c r="G311" s="7" t="str">
        <f>"08"</f>
        <v>08</v>
      </c>
      <c r="H311" s="7" t="s">
        <v>45</v>
      </c>
      <c r="I311" s="7" t="s">
        <v>14</v>
      </c>
      <c r="J311" s="9"/>
    </row>
    <row r="312" ht="14.25" spans="1:10">
      <c r="A312" s="7" t="s">
        <v>146</v>
      </c>
      <c r="B312" s="7" t="s">
        <v>326</v>
      </c>
      <c r="C312" s="7" t="str">
        <f t="shared" si="13"/>
        <v>女</v>
      </c>
      <c r="D312" s="7" t="str">
        <f>"411329199709074427"</f>
        <v>411329199709074427</v>
      </c>
      <c r="E312" s="8" t="str">
        <f>"10960041109"</f>
        <v>10960041109</v>
      </c>
      <c r="F312" s="7" t="str">
        <f t="shared" si="15"/>
        <v>11</v>
      </c>
      <c r="G312" s="7" t="str">
        <f>"09"</f>
        <v>09</v>
      </c>
      <c r="H312" s="7" t="s">
        <v>45</v>
      </c>
      <c r="I312" s="7" t="s">
        <v>14</v>
      </c>
      <c r="J312" s="9"/>
    </row>
    <row r="313" ht="14.25" spans="1:10">
      <c r="A313" s="7" t="s">
        <v>146</v>
      </c>
      <c r="B313" s="7" t="s">
        <v>327</v>
      </c>
      <c r="C313" s="7" t="str">
        <f t="shared" si="13"/>
        <v>男</v>
      </c>
      <c r="D313" s="7" t="str">
        <f>"411321199311060331"</f>
        <v>411321199311060331</v>
      </c>
      <c r="E313" s="8" t="str">
        <f>"10960041110"</f>
        <v>10960041110</v>
      </c>
      <c r="F313" s="7" t="str">
        <f t="shared" si="15"/>
        <v>11</v>
      </c>
      <c r="G313" s="7" t="str">
        <f>"10"</f>
        <v>10</v>
      </c>
      <c r="H313" s="7" t="s">
        <v>45</v>
      </c>
      <c r="I313" s="7" t="s">
        <v>14</v>
      </c>
      <c r="J313" s="9"/>
    </row>
    <row r="314" ht="14.25" spans="1:10">
      <c r="A314" s="7" t="s">
        <v>146</v>
      </c>
      <c r="B314" s="7" t="s">
        <v>328</v>
      </c>
      <c r="C314" s="7" t="str">
        <f t="shared" si="13"/>
        <v>女</v>
      </c>
      <c r="D314" s="7" t="str">
        <f>"411381199504100324"</f>
        <v>411381199504100324</v>
      </c>
      <c r="E314" s="8" t="str">
        <f>"10960041111"</f>
        <v>10960041111</v>
      </c>
      <c r="F314" s="7" t="str">
        <f t="shared" si="15"/>
        <v>11</v>
      </c>
      <c r="G314" s="7" t="str">
        <f>"11"</f>
        <v>11</v>
      </c>
      <c r="H314" s="7" t="s">
        <v>45</v>
      </c>
      <c r="I314" s="7" t="s">
        <v>14</v>
      </c>
      <c r="J314" s="9"/>
    </row>
    <row r="315" ht="14.25" spans="1:10">
      <c r="A315" s="7" t="s">
        <v>146</v>
      </c>
      <c r="B315" s="7" t="s">
        <v>329</v>
      </c>
      <c r="C315" s="7" t="str">
        <f t="shared" si="13"/>
        <v>女</v>
      </c>
      <c r="D315" s="7" t="str">
        <f>"411329199405154428"</f>
        <v>411329199405154428</v>
      </c>
      <c r="E315" s="8" t="str">
        <f>"10960041112"</f>
        <v>10960041112</v>
      </c>
      <c r="F315" s="7" t="str">
        <f t="shared" si="15"/>
        <v>11</v>
      </c>
      <c r="G315" s="7" t="str">
        <f>"12"</f>
        <v>12</v>
      </c>
      <c r="H315" s="7" t="s">
        <v>45</v>
      </c>
      <c r="I315" s="7">
        <v>61.7</v>
      </c>
      <c r="J315" s="9"/>
    </row>
    <row r="316" ht="14.25" spans="1:10">
      <c r="A316" s="7" t="s">
        <v>146</v>
      </c>
      <c r="B316" s="7" t="s">
        <v>330</v>
      </c>
      <c r="C316" s="7" t="str">
        <f t="shared" si="13"/>
        <v>女</v>
      </c>
      <c r="D316" s="7" t="str">
        <f>"411302199509185763"</f>
        <v>411302199509185763</v>
      </c>
      <c r="E316" s="8" t="str">
        <f>"10960041113"</f>
        <v>10960041113</v>
      </c>
      <c r="F316" s="7" t="str">
        <f t="shared" si="15"/>
        <v>11</v>
      </c>
      <c r="G316" s="7" t="str">
        <f>"13"</f>
        <v>13</v>
      </c>
      <c r="H316" s="7" t="s">
        <v>45</v>
      </c>
      <c r="I316" s="7" t="s">
        <v>14</v>
      </c>
      <c r="J316" s="9"/>
    </row>
    <row r="317" ht="14.25" spans="1:10">
      <c r="A317" s="7" t="s">
        <v>146</v>
      </c>
      <c r="B317" s="7" t="s">
        <v>331</v>
      </c>
      <c r="C317" s="7" t="str">
        <f t="shared" si="13"/>
        <v>女</v>
      </c>
      <c r="D317" s="7" t="str">
        <f>"411325199611026026"</f>
        <v>411325199611026026</v>
      </c>
      <c r="E317" s="8" t="str">
        <f>"10960041114"</f>
        <v>10960041114</v>
      </c>
      <c r="F317" s="7" t="str">
        <f t="shared" si="15"/>
        <v>11</v>
      </c>
      <c r="G317" s="7" t="str">
        <f>"14"</f>
        <v>14</v>
      </c>
      <c r="H317" s="7" t="s">
        <v>45</v>
      </c>
      <c r="I317" s="7" t="s">
        <v>14</v>
      </c>
      <c r="J317" s="9"/>
    </row>
    <row r="318" ht="14.25" spans="1:10">
      <c r="A318" s="7" t="s">
        <v>146</v>
      </c>
      <c r="B318" s="7" t="s">
        <v>332</v>
      </c>
      <c r="C318" s="7" t="str">
        <f t="shared" si="13"/>
        <v>女</v>
      </c>
      <c r="D318" s="7" t="str">
        <f>"41132319951101384X"</f>
        <v>41132319951101384X</v>
      </c>
      <c r="E318" s="8" t="str">
        <f>"10960041115"</f>
        <v>10960041115</v>
      </c>
      <c r="F318" s="7" t="str">
        <f t="shared" si="15"/>
        <v>11</v>
      </c>
      <c r="G318" s="7" t="str">
        <f>"15"</f>
        <v>15</v>
      </c>
      <c r="H318" s="7" t="s">
        <v>45</v>
      </c>
      <c r="I318" s="7">
        <v>66.4</v>
      </c>
      <c r="J318" s="9"/>
    </row>
    <row r="319" ht="14.25" spans="1:10">
      <c r="A319" s="7" t="s">
        <v>146</v>
      </c>
      <c r="B319" s="7" t="s">
        <v>333</v>
      </c>
      <c r="C319" s="7" t="str">
        <f t="shared" si="13"/>
        <v>男</v>
      </c>
      <c r="D319" s="7" t="str">
        <f>"411328199706266179"</f>
        <v>411328199706266179</v>
      </c>
      <c r="E319" s="8" t="str">
        <f>"10960041116"</f>
        <v>10960041116</v>
      </c>
      <c r="F319" s="7" t="str">
        <f t="shared" si="15"/>
        <v>11</v>
      </c>
      <c r="G319" s="7" t="str">
        <f>"16"</f>
        <v>16</v>
      </c>
      <c r="H319" s="7" t="s">
        <v>45</v>
      </c>
      <c r="I319" s="7">
        <v>69.2</v>
      </c>
      <c r="J319" s="9"/>
    </row>
    <row r="320" ht="14.25" spans="1:10">
      <c r="A320" s="7" t="s">
        <v>146</v>
      </c>
      <c r="B320" s="7" t="s">
        <v>334</v>
      </c>
      <c r="C320" s="7" t="str">
        <f t="shared" si="13"/>
        <v>女</v>
      </c>
      <c r="D320" s="7" t="str">
        <f>"411322199210202042"</f>
        <v>411322199210202042</v>
      </c>
      <c r="E320" s="8" t="str">
        <f>"10960041117"</f>
        <v>10960041117</v>
      </c>
      <c r="F320" s="7" t="str">
        <f t="shared" si="15"/>
        <v>11</v>
      </c>
      <c r="G320" s="7" t="str">
        <f>"17"</f>
        <v>17</v>
      </c>
      <c r="H320" s="7" t="s">
        <v>45</v>
      </c>
      <c r="I320" s="7" t="s">
        <v>14</v>
      </c>
      <c r="J320" s="9"/>
    </row>
    <row r="321" ht="14.25" spans="1:10">
      <c r="A321" s="7" t="s">
        <v>146</v>
      </c>
      <c r="B321" s="7" t="s">
        <v>335</v>
      </c>
      <c r="C321" s="7" t="str">
        <f t="shared" si="13"/>
        <v>男</v>
      </c>
      <c r="D321" s="7" t="str">
        <f>"411327199707130015"</f>
        <v>411327199707130015</v>
      </c>
      <c r="E321" s="8" t="str">
        <f>"10960041118"</f>
        <v>10960041118</v>
      </c>
      <c r="F321" s="7" t="str">
        <f t="shared" si="15"/>
        <v>11</v>
      </c>
      <c r="G321" s="7" t="str">
        <f>"18"</f>
        <v>18</v>
      </c>
      <c r="H321" s="7" t="s">
        <v>45</v>
      </c>
      <c r="I321" s="7">
        <v>67.8</v>
      </c>
      <c r="J321" s="9"/>
    </row>
    <row r="322" ht="14.25" spans="1:10">
      <c r="A322" s="7" t="s">
        <v>146</v>
      </c>
      <c r="B322" s="7" t="s">
        <v>336</v>
      </c>
      <c r="C322" s="7" t="str">
        <f t="shared" si="13"/>
        <v>男</v>
      </c>
      <c r="D322" s="7" t="str">
        <f>"411081199704282955"</f>
        <v>411081199704282955</v>
      </c>
      <c r="E322" s="8" t="str">
        <f>"10960041119"</f>
        <v>10960041119</v>
      </c>
      <c r="F322" s="7" t="str">
        <f t="shared" si="15"/>
        <v>11</v>
      </c>
      <c r="G322" s="7" t="str">
        <f>"19"</f>
        <v>19</v>
      </c>
      <c r="H322" s="7" t="s">
        <v>45</v>
      </c>
      <c r="I322" s="7" t="s">
        <v>14</v>
      </c>
      <c r="J322" s="9"/>
    </row>
    <row r="323" ht="14.25" spans="1:10">
      <c r="A323" s="7" t="s">
        <v>146</v>
      </c>
      <c r="B323" s="7" t="s">
        <v>337</v>
      </c>
      <c r="C323" s="7" t="str">
        <f t="shared" si="13"/>
        <v>女</v>
      </c>
      <c r="D323" s="7" t="str">
        <f>"411302199504216049"</f>
        <v>411302199504216049</v>
      </c>
      <c r="E323" s="8" t="str">
        <f>"10960041120"</f>
        <v>10960041120</v>
      </c>
      <c r="F323" s="7" t="str">
        <f t="shared" si="15"/>
        <v>11</v>
      </c>
      <c r="G323" s="7" t="str">
        <f>"20"</f>
        <v>20</v>
      </c>
      <c r="H323" s="7" t="s">
        <v>45</v>
      </c>
      <c r="I323" s="7" t="s">
        <v>14</v>
      </c>
      <c r="J323" s="9"/>
    </row>
    <row r="324" ht="14.25" spans="1:10">
      <c r="A324" s="7" t="s">
        <v>146</v>
      </c>
      <c r="B324" s="7" t="s">
        <v>338</v>
      </c>
      <c r="C324" s="7" t="str">
        <f t="shared" ref="C324:C387" si="16">IF(MOD(MID(D324,17,1),2),"男","女")</f>
        <v>男</v>
      </c>
      <c r="D324" s="7" t="str">
        <f>"411329199509093519"</f>
        <v>411329199509093519</v>
      </c>
      <c r="E324" s="8" t="str">
        <f>"10960041121"</f>
        <v>10960041121</v>
      </c>
      <c r="F324" s="7" t="str">
        <f t="shared" si="15"/>
        <v>11</v>
      </c>
      <c r="G324" s="7" t="str">
        <f>"21"</f>
        <v>21</v>
      </c>
      <c r="H324" s="7" t="s">
        <v>45</v>
      </c>
      <c r="I324" s="7">
        <v>67.5</v>
      </c>
      <c r="J324" s="9"/>
    </row>
    <row r="325" ht="14.25" spans="1:10">
      <c r="A325" s="7" t="s">
        <v>146</v>
      </c>
      <c r="B325" s="7" t="s">
        <v>339</v>
      </c>
      <c r="C325" s="7" t="str">
        <f t="shared" si="16"/>
        <v>女</v>
      </c>
      <c r="D325" s="7" t="str">
        <f>"41132319950102342X"</f>
        <v>41132319950102342X</v>
      </c>
      <c r="E325" s="8" t="str">
        <f>"10960041122"</f>
        <v>10960041122</v>
      </c>
      <c r="F325" s="7" t="str">
        <f t="shared" si="15"/>
        <v>11</v>
      </c>
      <c r="G325" s="7" t="str">
        <f>"22"</f>
        <v>22</v>
      </c>
      <c r="H325" s="7" t="s">
        <v>45</v>
      </c>
      <c r="I325" s="7">
        <v>59</v>
      </c>
      <c r="J325" s="9"/>
    </row>
    <row r="326" ht="14.25" spans="1:10">
      <c r="A326" s="7" t="s">
        <v>146</v>
      </c>
      <c r="B326" s="7" t="s">
        <v>340</v>
      </c>
      <c r="C326" s="7" t="str">
        <f t="shared" si="16"/>
        <v>男</v>
      </c>
      <c r="D326" s="7" t="str">
        <f>"411323199511255814"</f>
        <v>411323199511255814</v>
      </c>
      <c r="E326" s="8" t="str">
        <f>"10960041123"</f>
        <v>10960041123</v>
      </c>
      <c r="F326" s="7" t="str">
        <f t="shared" si="15"/>
        <v>11</v>
      </c>
      <c r="G326" s="7" t="str">
        <f>"23"</f>
        <v>23</v>
      </c>
      <c r="H326" s="7" t="s">
        <v>45</v>
      </c>
      <c r="I326" s="7">
        <v>53.7</v>
      </c>
      <c r="J326" s="9"/>
    </row>
    <row r="327" ht="14.25" spans="1:10">
      <c r="A327" s="7" t="s">
        <v>146</v>
      </c>
      <c r="B327" s="7" t="s">
        <v>341</v>
      </c>
      <c r="C327" s="7" t="str">
        <f t="shared" si="16"/>
        <v>女</v>
      </c>
      <c r="D327" s="7" t="str">
        <f>"411325199005063003"</f>
        <v>411325199005063003</v>
      </c>
      <c r="E327" s="8" t="str">
        <f>"10960041124"</f>
        <v>10960041124</v>
      </c>
      <c r="F327" s="7" t="str">
        <f t="shared" si="15"/>
        <v>11</v>
      </c>
      <c r="G327" s="7" t="str">
        <f>"24"</f>
        <v>24</v>
      </c>
      <c r="H327" s="7" t="s">
        <v>45</v>
      </c>
      <c r="I327" s="7">
        <v>56.3</v>
      </c>
      <c r="J327" s="9"/>
    </row>
    <row r="328" ht="14.25" spans="1:10">
      <c r="A328" s="7" t="s">
        <v>146</v>
      </c>
      <c r="B328" s="7" t="s">
        <v>342</v>
      </c>
      <c r="C328" s="7" t="str">
        <f t="shared" si="16"/>
        <v>女</v>
      </c>
      <c r="D328" s="7" t="str">
        <f>"412725199712202247"</f>
        <v>412725199712202247</v>
      </c>
      <c r="E328" s="8" t="str">
        <f>"10960041125"</f>
        <v>10960041125</v>
      </c>
      <c r="F328" s="7" t="str">
        <f t="shared" si="15"/>
        <v>11</v>
      </c>
      <c r="G328" s="7" t="str">
        <f>"25"</f>
        <v>25</v>
      </c>
      <c r="H328" s="7" t="s">
        <v>45</v>
      </c>
      <c r="I328" s="7" t="s">
        <v>14</v>
      </c>
      <c r="J328" s="9"/>
    </row>
    <row r="329" ht="14.25" spans="1:10">
      <c r="A329" s="7" t="s">
        <v>146</v>
      </c>
      <c r="B329" s="7" t="s">
        <v>343</v>
      </c>
      <c r="C329" s="7" t="str">
        <f t="shared" si="16"/>
        <v>女</v>
      </c>
      <c r="D329" s="7" t="str">
        <f>"411321199311213625"</f>
        <v>411321199311213625</v>
      </c>
      <c r="E329" s="8" t="str">
        <f>"10960041126"</f>
        <v>10960041126</v>
      </c>
      <c r="F329" s="7" t="str">
        <f t="shared" si="15"/>
        <v>11</v>
      </c>
      <c r="G329" s="7" t="str">
        <f>"26"</f>
        <v>26</v>
      </c>
      <c r="H329" s="7" t="s">
        <v>45</v>
      </c>
      <c r="I329" s="7">
        <v>67.7</v>
      </c>
      <c r="J329" s="9"/>
    </row>
    <row r="330" ht="14.25" spans="1:10">
      <c r="A330" s="7" t="s">
        <v>146</v>
      </c>
      <c r="B330" s="7" t="s">
        <v>344</v>
      </c>
      <c r="C330" s="7" t="str">
        <f t="shared" si="16"/>
        <v>女</v>
      </c>
      <c r="D330" s="7" t="str">
        <f>"411323199306026342"</f>
        <v>411323199306026342</v>
      </c>
      <c r="E330" s="8" t="str">
        <f>"10960041127"</f>
        <v>10960041127</v>
      </c>
      <c r="F330" s="7" t="str">
        <f t="shared" si="15"/>
        <v>11</v>
      </c>
      <c r="G330" s="7" t="str">
        <f>"27"</f>
        <v>27</v>
      </c>
      <c r="H330" s="7" t="s">
        <v>45</v>
      </c>
      <c r="I330" s="7" t="s">
        <v>14</v>
      </c>
      <c r="J330" s="9"/>
    </row>
    <row r="331" ht="14.25" spans="1:10">
      <c r="A331" s="7" t="s">
        <v>146</v>
      </c>
      <c r="B331" s="7" t="s">
        <v>345</v>
      </c>
      <c r="C331" s="7" t="str">
        <f t="shared" si="16"/>
        <v>男</v>
      </c>
      <c r="D331" s="7" t="str">
        <f>"410306199208100011"</f>
        <v>410306199208100011</v>
      </c>
      <c r="E331" s="8" t="str">
        <f>"10960041128"</f>
        <v>10960041128</v>
      </c>
      <c r="F331" s="7" t="str">
        <f t="shared" si="15"/>
        <v>11</v>
      </c>
      <c r="G331" s="7" t="str">
        <f>"28"</f>
        <v>28</v>
      </c>
      <c r="H331" s="7" t="s">
        <v>45</v>
      </c>
      <c r="I331" s="7" t="s">
        <v>14</v>
      </c>
      <c r="J331" s="9"/>
    </row>
    <row r="332" ht="14.25" spans="1:10">
      <c r="A332" s="7" t="s">
        <v>146</v>
      </c>
      <c r="B332" s="7" t="s">
        <v>346</v>
      </c>
      <c r="C332" s="7" t="str">
        <f t="shared" si="16"/>
        <v>男</v>
      </c>
      <c r="D332" s="7" t="str">
        <f>"411325199609237430"</f>
        <v>411325199609237430</v>
      </c>
      <c r="E332" s="8" t="str">
        <f>"10960041129"</f>
        <v>10960041129</v>
      </c>
      <c r="F332" s="7" t="str">
        <f t="shared" si="15"/>
        <v>11</v>
      </c>
      <c r="G332" s="7" t="str">
        <f>"29"</f>
        <v>29</v>
      </c>
      <c r="H332" s="7" t="s">
        <v>45</v>
      </c>
      <c r="I332" s="7" t="s">
        <v>14</v>
      </c>
      <c r="J332" s="9"/>
    </row>
    <row r="333" ht="14.25" spans="1:10">
      <c r="A333" s="7" t="s">
        <v>146</v>
      </c>
      <c r="B333" s="7" t="s">
        <v>347</v>
      </c>
      <c r="C333" s="7" t="str">
        <f t="shared" si="16"/>
        <v>女</v>
      </c>
      <c r="D333" s="7" t="str">
        <f>"41132319980108008X"</f>
        <v>41132319980108008X</v>
      </c>
      <c r="E333" s="8" t="str">
        <f>"10960041130"</f>
        <v>10960041130</v>
      </c>
      <c r="F333" s="7" t="str">
        <f t="shared" si="15"/>
        <v>11</v>
      </c>
      <c r="G333" s="7" t="str">
        <f>"30"</f>
        <v>30</v>
      </c>
      <c r="H333" s="7" t="s">
        <v>45</v>
      </c>
      <c r="I333" s="7" t="s">
        <v>14</v>
      </c>
      <c r="J333" s="9"/>
    </row>
    <row r="334" ht="14.25" spans="1:10">
      <c r="A334" s="7" t="s">
        <v>146</v>
      </c>
      <c r="B334" s="7" t="s">
        <v>348</v>
      </c>
      <c r="C334" s="7" t="str">
        <f t="shared" si="16"/>
        <v>女</v>
      </c>
      <c r="D334" s="7" t="str">
        <f>"411303199406020022"</f>
        <v>411303199406020022</v>
      </c>
      <c r="E334" s="8" t="str">
        <f>"10960041201"</f>
        <v>10960041201</v>
      </c>
      <c r="F334" s="7" t="str">
        <f t="shared" ref="F334:F363" si="17">"12"</f>
        <v>12</v>
      </c>
      <c r="G334" s="7" t="str">
        <f>"01"</f>
        <v>01</v>
      </c>
      <c r="H334" s="7" t="s">
        <v>45</v>
      </c>
      <c r="I334" s="7">
        <v>67.6</v>
      </c>
      <c r="J334" s="9"/>
    </row>
    <row r="335" ht="14.25" spans="1:10">
      <c r="A335" s="7" t="s">
        <v>146</v>
      </c>
      <c r="B335" s="7" t="s">
        <v>349</v>
      </c>
      <c r="C335" s="7" t="str">
        <f t="shared" si="16"/>
        <v>女</v>
      </c>
      <c r="D335" s="7" t="str">
        <f>"411321199011191524"</f>
        <v>411321199011191524</v>
      </c>
      <c r="E335" s="8" t="str">
        <f>"10960041202"</f>
        <v>10960041202</v>
      </c>
      <c r="F335" s="7" t="str">
        <f t="shared" si="17"/>
        <v>12</v>
      </c>
      <c r="G335" s="7" t="str">
        <f>"02"</f>
        <v>02</v>
      </c>
      <c r="H335" s="7" t="s">
        <v>45</v>
      </c>
      <c r="I335" s="7">
        <v>65.5</v>
      </c>
      <c r="J335" s="9"/>
    </row>
    <row r="336" ht="14.25" spans="1:10">
      <c r="A336" s="7" t="s">
        <v>146</v>
      </c>
      <c r="B336" s="7" t="s">
        <v>350</v>
      </c>
      <c r="C336" s="7" t="str">
        <f t="shared" si="16"/>
        <v>女</v>
      </c>
      <c r="D336" s="7" t="str">
        <f>"411325199406010041"</f>
        <v>411325199406010041</v>
      </c>
      <c r="E336" s="8" t="str">
        <f>"10960041203"</f>
        <v>10960041203</v>
      </c>
      <c r="F336" s="7" t="str">
        <f t="shared" si="17"/>
        <v>12</v>
      </c>
      <c r="G336" s="7" t="str">
        <f>"03"</f>
        <v>03</v>
      </c>
      <c r="H336" s="7" t="s">
        <v>45</v>
      </c>
      <c r="I336" s="7" t="s">
        <v>14</v>
      </c>
      <c r="J336" s="9"/>
    </row>
    <row r="337" ht="14.25" spans="1:10">
      <c r="A337" s="7" t="s">
        <v>146</v>
      </c>
      <c r="B337" s="7" t="s">
        <v>351</v>
      </c>
      <c r="C337" s="7" t="str">
        <f t="shared" si="16"/>
        <v>女</v>
      </c>
      <c r="D337" s="7" t="str">
        <f>"412822199401020047"</f>
        <v>412822199401020047</v>
      </c>
      <c r="E337" s="8" t="str">
        <f>"10960041204"</f>
        <v>10960041204</v>
      </c>
      <c r="F337" s="7" t="str">
        <f t="shared" si="17"/>
        <v>12</v>
      </c>
      <c r="G337" s="7" t="str">
        <f>"04"</f>
        <v>04</v>
      </c>
      <c r="H337" s="7" t="s">
        <v>45</v>
      </c>
      <c r="I337" s="7" t="s">
        <v>14</v>
      </c>
      <c r="J337" s="9"/>
    </row>
    <row r="338" ht="14.25" spans="1:10">
      <c r="A338" s="7" t="s">
        <v>146</v>
      </c>
      <c r="B338" s="7" t="s">
        <v>352</v>
      </c>
      <c r="C338" s="7" t="str">
        <f t="shared" si="16"/>
        <v>女</v>
      </c>
      <c r="D338" s="7" t="str">
        <f>"412822199310114881"</f>
        <v>412822199310114881</v>
      </c>
      <c r="E338" s="8" t="str">
        <f>"10960041205"</f>
        <v>10960041205</v>
      </c>
      <c r="F338" s="7" t="str">
        <f t="shared" si="17"/>
        <v>12</v>
      </c>
      <c r="G338" s="7" t="str">
        <f>"05"</f>
        <v>05</v>
      </c>
      <c r="H338" s="7" t="s">
        <v>45</v>
      </c>
      <c r="I338" s="7" t="s">
        <v>14</v>
      </c>
      <c r="J338" s="9"/>
    </row>
    <row r="339" ht="14.25" spans="1:10">
      <c r="A339" s="7" t="s">
        <v>146</v>
      </c>
      <c r="B339" s="7" t="s">
        <v>353</v>
      </c>
      <c r="C339" s="7" t="str">
        <f t="shared" si="16"/>
        <v>女</v>
      </c>
      <c r="D339" s="7" t="str">
        <f>"411303199810086744"</f>
        <v>411303199810086744</v>
      </c>
      <c r="E339" s="8" t="str">
        <f>"10960041206"</f>
        <v>10960041206</v>
      </c>
      <c r="F339" s="7" t="str">
        <f t="shared" si="17"/>
        <v>12</v>
      </c>
      <c r="G339" s="7" t="str">
        <f>"06"</f>
        <v>06</v>
      </c>
      <c r="H339" s="7" t="s">
        <v>45</v>
      </c>
      <c r="I339" s="7" t="s">
        <v>14</v>
      </c>
      <c r="J339" s="9"/>
    </row>
    <row r="340" ht="14.25" spans="1:10">
      <c r="A340" s="7" t="s">
        <v>146</v>
      </c>
      <c r="B340" s="7" t="s">
        <v>354</v>
      </c>
      <c r="C340" s="7" t="str">
        <f t="shared" si="16"/>
        <v>女</v>
      </c>
      <c r="D340" s="7" t="str">
        <f>"410323199509149528"</f>
        <v>410323199509149528</v>
      </c>
      <c r="E340" s="8" t="str">
        <f>"10960041207"</f>
        <v>10960041207</v>
      </c>
      <c r="F340" s="7" t="str">
        <f t="shared" si="17"/>
        <v>12</v>
      </c>
      <c r="G340" s="7" t="str">
        <f>"07"</f>
        <v>07</v>
      </c>
      <c r="H340" s="7" t="s">
        <v>45</v>
      </c>
      <c r="I340" s="7" t="s">
        <v>14</v>
      </c>
      <c r="J340" s="9"/>
    </row>
    <row r="341" ht="14.25" spans="1:10">
      <c r="A341" s="7" t="s">
        <v>146</v>
      </c>
      <c r="B341" s="7" t="s">
        <v>355</v>
      </c>
      <c r="C341" s="7" t="str">
        <f t="shared" si="16"/>
        <v>男</v>
      </c>
      <c r="D341" s="7" t="str">
        <f>"411330199109112018"</f>
        <v>411330199109112018</v>
      </c>
      <c r="E341" s="8" t="str">
        <f>"10960041208"</f>
        <v>10960041208</v>
      </c>
      <c r="F341" s="7" t="str">
        <f t="shared" si="17"/>
        <v>12</v>
      </c>
      <c r="G341" s="7" t="str">
        <f>"08"</f>
        <v>08</v>
      </c>
      <c r="H341" s="7" t="s">
        <v>45</v>
      </c>
      <c r="I341" s="7">
        <v>69</v>
      </c>
      <c r="J341" s="9"/>
    </row>
    <row r="342" ht="14.25" spans="1:10">
      <c r="A342" s="7" t="s">
        <v>146</v>
      </c>
      <c r="B342" s="7" t="s">
        <v>356</v>
      </c>
      <c r="C342" s="7" t="str">
        <f t="shared" si="16"/>
        <v>女</v>
      </c>
      <c r="D342" s="7" t="str">
        <f>"411325199604138628"</f>
        <v>411325199604138628</v>
      </c>
      <c r="E342" s="8" t="str">
        <f>"10960041209"</f>
        <v>10960041209</v>
      </c>
      <c r="F342" s="7" t="str">
        <f t="shared" si="17"/>
        <v>12</v>
      </c>
      <c r="G342" s="7" t="str">
        <f>"09"</f>
        <v>09</v>
      </c>
      <c r="H342" s="7" t="s">
        <v>45</v>
      </c>
      <c r="I342" s="7" t="s">
        <v>14</v>
      </c>
      <c r="J342" s="9"/>
    </row>
    <row r="343" ht="14.25" spans="1:10">
      <c r="A343" s="7" t="s">
        <v>146</v>
      </c>
      <c r="B343" s="7" t="s">
        <v>357</v>
      </c>
      <c r="C343" s="7" t="str">
        <f t="shared" si="16"/>
        <v>男</v>
      </c>
      <c r="D343" s="7" t="str">
        <f>"411325199511062951"</f>
        <v>411325199511062951</v>
      </c>
      <c r="E343" s="8" t="str">
        <f>"10960041210"</f>
        <v>10960041210</v>
      </c>
      <c r="F343" s="7" t="str">
        <f t="shared" si="17"/>
        <v>12</v>
      </c>
      <c r="G343" s="7" t="str">
        <f>"10"</f>
        <v>10</v>
      </c>
      <c r="H343" s="7" t="s">
        <v>45</v>
      </c>
      <c r="I343" s="7" t="s">
        <v>14</v>
      </c>
      <c r="J343" s="9"/>
    </row>
    <row r="344" ht="14.25" spans="1:10">
      <c r="A344" s="7" t="s">
        <v>146</v>
      </c>
      <c r="B344" s="7" t="s">
        <v>358</v>
      </c>
      <c r="C344" s="7" t="str">
        <f t="shared" si="16"/>
        <v>男</v>
      </c>
      <c r="D344" s="7" t="str">
        <f>"411325199003190711"</f>
        <v>411325199003190711</v>
      </c>
      <c r="E344" s="8" t="str">
        <f>"10960041211"</f>
        <v>10960041211</v>
      </c>
      <c r="F344" s="7" t="str">
        <f t="shared" si="17"/>
        <v>12</v>
      </c>
      <c r="G344" s="7" t="str">
        <f>"11"</f>
        <v>11</v>
      </c>
      <c r="H344" s="7" t="s">
        <v>45</v>
      </c>
      <c r="I344" s="7">
        <v>63.3</v>
      </c>
      <c r="J344" s="9"/>
    </row>
    <row r="345" ht="14.25" spans="1:10">
      <c r="A345" s="7" t="s">
        <v>146</v>
      </c>
      <c r="B345" s="7" t="s">
        <v>359</v>
      </c>
      <c r="C345" s="7" t="str">
        <f t="shared" si="16"/>
        <v>男</v>
      </c>
      <c r="D345" s="7" t="str">
        <f>"412822199804060553"</f>
        <v>412822199804060553</v>
      </c>
      <c r="E345" s="8" t="str">
        <f>"10960041212"</f>
        <v>10960041212</v>
      </c>
      <c r="F345" s="7" t="str">
        <f t="shared" si="17"/>
        <v>12</v>
      </c>
      <c r="G345" s="7" t="str">
        <f>"12"</f>
        <v>12</v>
      </c>
      <c r="H345" s="7" t="s">
        <v>45</v>
      </c>
      <c r="I345" s="7">
        <v>79</v>
      </c>
      <c r="J345" s="9"/>
    </row>
    <row r="346" ht="14.25" spans="1:10">
      <c r="A346" s="7" t="s">
        <v>146</v>
      </c>
      <c r="B346" s="7" t="s">
        <v>360</v>
      </c>
      <c r="C346" s="7" t="str">
        <f t="shared" si="16"/>
        <v>女</v>
      </c>
      <c r="D346" s="7" t="str">
        <f>"411303199410125927"</f>
        <v>411303199410125927</v>
      </c>
      <c r="E346" s="8" t="str">
        <f>"10960041213"</f>
        <v>10960041213</v>
      </c>
      <c r="F346" s="7" t="str">
        <f t="shared" si="17"/>
        <v>12</v>
      </c>
      <c r="G346" s="7" t="str">
        <f>"13"</f>
        <v>13</v>
      </c>
      <c r="H346" s="7" t="s">
        <v>45</v>
      </c>
      <c r="I346" s="7">
        <v>70.6</v>
      </c>
      <c r="J346" s="9"/>
    </row>
    <row r="347" ht="14.25" spans="1:10">
      <c r="A347" s="7" t="s">
        <v>146</v>
      </c>
      <c r="B347" s="7" t="s">
        <v>361</v>
      </c>
      <c r="C347" s="7" t="str">
        <f t="shared" si="16"/>
        <v>女</v>
      </c>
      <c r="D347" s="7" t="str">
        <f>"411321199904250026"</f>
        <v>411321199904250026</v>
      </c>
      <c r="E347" s="8" t="str">
        <f>"10960041214"</f>
        <v>10960041214</v>
      </c>
      <c r="F347" s="7" t="str">
        <f t="shared" si="17"/>
        <v>12</v>
      </c>
      <c r="G347" s="7" t="str">
        <f>"14"</f>
        <v>14</v>
      </c>
      <c r="H347" s="7" t="s">
        <v>45</v>
      </c>
      <c r="I347" s="7" t="s">
        <v>14</v>
      </c>
      <c r="J347" s="9"/>
    </row>
    <row r="348" ht="14.25" spans="1:10">
      <c r="A348" s="7" t="s">
        <v>146</v>
      </c>
      <c r="B348" s="7" t="s">
        <v>362</v>
      </c>
      <c r="C348" s="7" t="str">
        <f t="shared" si="16"/>
        <v>女</v>
      </c>
      <c r="D348" s="7" t="str">
        <f>"411323199212230027"</f>
        <v>411323199212230027</v>
      </c>
      <c r="E348" s="8" t="str">
        <f>"10960041215"</f>
        <v>10960041215</v>
      </c>
      <c r="F348" s="7" t="str">
        <f t="shared" si="17"/>
        <v>12</v>
      </c>
      <c r="G348" s="7" t="str">
        <f>"15"</f>
        <v>15</v>
      </c>
      <c r="H348" s="7" t="s">
        <v>45</v>
      </c>
      <c r="I348" s="7" t="s">
        <v>14</v>
      </c>
      <c r="J348" s="9"/>
    </row>
    <row r="349" ht="14.25" spans="1:10">
      <c r="A349" s="7" t="s">
        <v>146</v>
      </c>
      <c r="B349" s="7" t="s">
        <v>363</v>
      </c>
      <c r="C349" s="7" t="str">
        <f t="shared" si="16"/>
        <v>男</v>
      </c>
      <c r="D349" s="7" t="str">
        <f>"411321199506240017"</f>
        <v>411321199506240017</v>
      </c>
      <c r="E349" s="8" t="str">
        <f>"10960041216"</f>
        <v>10960041216</v>
      </c>
      <c r="F349" s="7" t="str">
        <f t="shared" si="17"/>
        <v>12</v>
      </c>
      <c r="G349" s="7" t="str">
        <f>"16"</f>
        <v>16</v>
      </c>
      <c r="H349" s="7" t="s">
        <v>45</v>
      </c>
      <c r="I349" s="7">
        <v>70.2</v>
      </c>
      <c r="J349" s="9"/>
    </row>
    <row r="350" ht="14.25" spans="1:10">
      <c r="A350" s="7" t="s">
        <v>146</v>
      </c>
      <c r="B350" s="7" t="s">
        <v>364</v>
      </c>
      <c r="C350" s="7" t="str">
        <f t="shared" si="16"/>
        <v>女</v>
      </c>
      <c r="D350" s="7" t="str">
        <f>"411321199002150501"</f>
        <v>411321199002150501</v>
      </c>
      <c r="E350" s="8" t="str">
        <f>"10960041217"</f>
        <v>10960041217</v>
      </c>
      <c r="F350" s="7" t="str">
        <f t="shared" si="17"/>
        <v>12</v>
      </c>
      <c r="G350" s="7" t="str">
        <f>"17"</f>
        <v>17</v>
      </c>
      <c r="H350" s="7" t="s">
        <v>45</v>
      </c>
      <c r="I350" s="7">
        <v>58.7</v>
      </c>
      <c r="J350" s="9"/>
    </row>
    <row r="351" ht="14.25" spans="1:10">
      <c r="A351" s="7" t="s">
        <v>146</v>
      </c>
      <c r="B351" s="7" t="s">
        <v>365</v>
      </c>
      <c r="C351" s="7" t="str">
        <f t="shared" si="16"/>
        <v>女</v>
      </c>
      <c r="D351" s="7" t="str">
        <f>"411323199601223824"</f>
        <v>411323199601223824</v>
      </c>
      <c r="E351" s="8" t="str">
        <f>"10960041218"</f>
        <v>10960041218</v>
      </c>
      <c r="F351" s="7" t="str">
        <f t="shared" si="17"/>
        <v>12</v>
      </c>
      <c r="G351" s="7" t="str">
        <f>"18"</f>
        <v>18</v>
      </c>
      <c r="H351" s="7" t="s">
        <v>45</v>
      </c>
      <c r="I351" s="7" t="s">
        <v>14</v>
      </c>
      <c r="J351" s="9"/>
    </row>
    <row r="352" ht="14.25" spans="1:10">
      <c r="A352" s="7" t="s">
        <v>146</v>
      </c>
      <c r="B352" s="7" t="s">
        <v>366</v>
      </c>
      <c r="C352" s="7" t="str">
        <f t="shared" si="16"/>
        <v>女</v>
      </c>
      <c r="D352" s="7" t="str">
        <f>"412822199712010022"</f>
        <v>412822199712010022</v>
      </c>
      <c r="E352" s="8" t="str">
        <f>"10960041219"</f>
        <v>10960041219</v>
      </c>
      <c r="F352" s="7" t="str">
        <f t="shared" si="17"/>
        <v>12</v>
      </c>
      <c r="G352" s="7" t="str">
        <f>"19"</f>
        <v>19</v>
      </c>
      <c r="H352" s="7" t="s">
        <v>45</v>
      </c>
      <c r="I352" s="7" t="s">
        <v>14</v>
      </c>
      <c r="J352" s="9"/>
    </row>
    <row r="353" ht="14.25" spans="1:10">
      <c r="A353" s="7" t="s">
        <v>146</v>
      </c>
      <c r="B353" s="7" t="s">
        <v>367</v>
      </c>
      <c r="C353" s="7" t="str">
        <f t="shared" si="16"/>
        <v>女</v>
      </c>
      <c r="D353" s="7" t="str">
        <f>"411329199808233120"</f>
        <v>411329199808233120</v>
      </c>
      <c r="E353" s="8" t="str">
        <f>"10960041220"</f>
        <v>10960041220</v>
      </c>
      <c r="F353" s="7" t="str">
        <f t="shared" si="17"/>
        <v>12</v>
      </c>
      <c r="G353" s="7" t="str">
        <f>"20"</f>
        <v>20</v>
      </c>
      <c r="H353" s="7" t="s">
        <v>45</v>
      </c>
      <c r="I353" s="7" t="s">
        <v>14</v>
      </c>
      <c r="J353" s="9"/>
    </row>
    <row r="354" ht="14.25" spans="1:10">
      <c r="A354" s="7" t="s">
        <v>146</v>
      </c>
      <c r="B354" s="7" t="s">
        <v>368</v>
      </c>
      <c r="C354" s="7" t="str">
        <f t="shared" si="16"/>
        <v>男</v>
      </c>
      <c r="D354" s="7" t="str">
        <f>"411324199502130012"</f>
        <v>411324199502130012</v>
      </c>
      <c r="E354" s="8" t="str">
        <f>"10960041221"</f>
        <v>10960041221</v>
      </c>
      <c r="F354" s="7" t="str">
        <f t="shared" si="17"/>
        <v>12</v>
      </c>
      <c r="G354" s="7" t="str">
        <f>"21"</f>
        <v>21</v>
      </c>
      <c r="H354" s="7" t="s">
        <v>45</v>
      </c>
      <c r="I354" s="7" t="s">
        <v>14</v>
      </c>
      <c r="J354" s="9"/>
    </row>
    <row r="355" ht="14.25" spans="1:10">
      <c r="A355" s="7" t="s">
        <v>146</v>
      </c>
      <c r="B355" s="7" t="s">
        <v>369</v>
      </c>
      <c r="C355" s="7" t="str">
        <f t="shared" si="16"/>
        <v>女</v>
      </c>
      <c r="D355" s="7" t="str">
        <f>"412822199812270024"</f>
        <v>412822199812270024</v>
      </c>
      <c r="E355" s="8" t="str">
        <f>"10960041222"</f>
        <v>10960041222</v>
      </c>
      <c r="F355" s="7" t="str">
        <f t="shared" si="17"/>
        <v>12</v>
      </c>
      <c r="G355" s="7" t="str">
        <f>"22"</f>
        <v>22</v>
      </c>
      <c r="H355" s="7" t="s">
        <v>45</v>
      </c>
      <c r="I355" s="7">
        <v>56.3</v>
      </c>
      <c r="J355" s="9"/>
    </row>
    <row r="356" ht="14.25" spans="1:10">
      <c r="A356" s="7" t="s">
        <v>146</v>
      </c>
      <c r="B356" s="7" t="s">
        <v>370</v>
      </c>
      <c r="C356" s="7" t="str">
        <f t="shared" si="16"/>
        <v>男</v>
      </c>
      <c r="D356" s="7" t="str">
        <f>"411303199710280531"</f>
        <v>411303199710280531</v>
      </c>
      <c r="E356" s="8" t="str">
        <f>"10960041223"</f>
        <v>10960041223</v>
      </c>
      <c r="F356" s="7" t="str">
        <f t="shared" si="17"/>
        <v>12</v>
      </c>
      <c r="G356" s="7" t="str">
        <f>"23"</f>
        <v>23</v>
      </c>
      <c r="H356" s="7" t="s">
        <v>45</v>
      </c>
      <c r="I356" s="7" t="s">
        <v>14</v>
      </c>
      <c r="J356" s="9"/>
    </row>
    <row r="357" ht="14.25" spans="1:10">
      <c r="A357" s="7" t="s">
        <v>146</v>
      </c>
      <c r="B357" s="7" t="s">
        <v>371</v>
      </c>
      <c r="C357" s="7" t="str">
        <f t="shared" si="16"/>
        <v>女</v>
      </c>
      <c r="D357" s="7" t="str">
        <f>"411302199101154525"</f>
        <v>411302199101154525</v>
      </c>
      <c r="E357" s="8" t="str">
        <f>"10960041224"</f>
        <v>10960041224</v>
      </c>
      <c r="F357" s="7" t="str">
        <f t="shared" si="17"/>
        <v>12</v>
      </c>
      <c r="G357" s="7" t="str">
        <f>"24"</f>
        <v>24</v>
      </c>
      <c r="H357" s="7" t="s">
        <v>45</v>
      </c>
      <c r="I357" s="7" t="s">
        <v>14</v>
      </c>
      <c r="J357" s="9"/>
    </row>
    <row r="358" ht="14.25" spans="1:10">
      <c r="A358" s="7" t="s">
        <v>146</v>
      </c>
      <c r="B358" s="7" t="s">
        <v>372</v>
      </c>
      <c r="C358" s="7" t="str">
        <f t="shared" si="16"/>
        <v>男</v>
      </c>
      <c r="D358" s="7" t="str">
        <f>"411329199403070036"</f>
        <v>411329199403070036</v>
      </c>
      <c r="E358" s="8" t="str">
        <f>"10960041225"</f>
        <v>10960041225</v>
      </c>
      <c r="F358" s="7" t="str">
        <f t="shared" si="17"/>
        <v>12</v>
      </c>
      <c r="G358" s="7" t="str">
        <f>"25"</f>
        <v>25</v>
      </c>
      <c r="H358" s="7" t="s">
        <v>45</v>
      </c>
      <c r="I358" s="7">
        <v>65.6</v>
      </c>
      <c r="J358" s="9"/>
    </row>
    <row r="359" ht="14.25" spans="1:10">
      <c r="A359" s="7" t="s">
        <v>146</v>
      </c>
      <c r="B359" s="7" t="s">
        <v>373</v>
      </c>
      <c r="C359" s="7" t="str">
        <f t="shared" si="16"/>
        <v>女</v>
      </c>
      <c r="D359" s="7" t="str">
        <f>"411322199802100322"</f>
        <v>411322199802100322</v>
      </c>
      <c r="E359" s="8" t="str">
        <f>"10960041226"</f>
        <v>10960041226</v>
      </c>
      <c r="F359" s="7" t="str">
        <f t="shared" si="17"/>
        <v>12</v>
      </c>
      <c r="G359" s="7" t="str">
        <f>"26"</f>
        <v>26</v>
      </c>
      <c r="H359" s="7" t="s">
        <v>45</v>
      </c>
      <c r="I359" s="7">
        <v>64.5</v>
      </c>
      <c r="J359" s="9"/>
    </row>
    <row r="360" ht="14.25" spans="1:10">
      <c r="A360" s="7" t="s">
        <v>146</v>
      </c>
      <c r="B360" s="7" t="s">
        <v>374</v>
      </c>
      <c r="C360" s="7" t="str">
        <f t="shared" si="16"/>
        <v>女</v>
      </c>
      <c r="D360" s="7" t="str">
        <f>"411325199510060444"</f>
        <v>411325199510060444</v>
      </c>
      <c r="E360" s="8" t="str">
        <f>"10960041227"</f>
        <v>10960041227</v>
      </c>
      <c r="F360" s="7" t="str">
        <f t="shared" si="17"/>
        <v>12</v>
      </c>
      <c r="G360" s="7" t="str">
        <f>"27"</f>
        <v>27</v>
      </c>
      <c r="H360" s="7" t="s">
        <v>45</v>
      </c>
      <c r="I360" s="7" t="s">
        <v>14</v>
      </c>
      <c r="J360" s="9"/>
    </row>
    <row r="361" ht="14.25" spans="1:10">
      <c r="A361" s="7" t="s">
        <v>146</v>
      </c>
      <c r="B361" s="7" t="s">
        <v>375</v>
      </c>
      <c r="C361" s="7" t="str">
        <f t="shared" si="16"/>
        <v>女</v>
      </c>
      <c r="D361" s="7" t="str">
        <f>"411481199106035163"</f>
        <v>411481199106035163</v>
      </c>
      <c r="E361" s="8" t="str">
        <f>"10960041228"</f>
        <v>10960041228</v>
      </c>
      <c r="F361" s="7" t="str">
        <f t="shared" si="17"/>
        <v>12</v>
      </c>
      <c r="G361" s="7" t="str">
        <f>"28"</f>
        <v>28</v>
      </c>
      <c r="H361" s="7" t="s">
        <v>45</v>
      </c>
      <c r="I361" s="7">
        <v>72.5</v>
      </c>
      <c r="J361" s="9"/>
    </row>
    <row r="362" ht="14.25" spans="1:10">
      <c r="A362" s="7" t="s">
        <v>146</v>
      </c>
      <c r="B362" s="7" t="s">
        <v>376</v>
      </c>
      <c r="C362" s="7" t="str">
        <f t="shared" si="16"/>
        <v>男</v>
      </c>
      <c r="D362" s="7" t="str">
        <f>"41130319940614181X"</f>
        <v>41130319940614181X</v>
      </c>
      <c r="E362" s="8" t="str">
        <f>"10960041229"</f>
        <v>10960041229</v>
      </c>
      <c r="F362" s="7" t="str">
        <f t="shared" si="17"/>
        <v>12</v>
      </c>
      <c r="G362" s="7" t="str">
        <f>"29"</f>
        <v>29</v>
      </c>
      <c r="H362" s="7" t="s">
        <v>45</v>
      </c>
      <c r="I362" s="7" t="s">
        <v>14</v>
      </c>
      <c r="J362" s="9"/>
    </row>
    <row r="363" ht="14.25" spans="1:10">
      <c r="A363" s="7" t="s">
        <v>146</v>
      </c>
      <c r="B363" s="7" t="s">
        <v>377</v>
      </c>
      <c r="C363" s="7" t="str">
        <f t="shared" si="16"/>
        <v>男</v>
      </c>
      <c r="D363" s="7" t="str">
        <f>"411323199010230512"</f>
        <v>411323199010230512</v>
      </c>
      <c r="E363" s="8" t="str">
        <f>"10960041230"</f>
        <v>10960041230</v>
      </c>
      <c r="F363" s="7" t="str">
        <f t="shared" si="17"/>
        <v>12</v>
      </c>
      <c r="G363" s="7" t="str">
        <f>"30"</f>
        <v>30</v>
      </c>
      <c r="H363" s="7" t="s">
        <v>45</v>
      </c>
      <c r="I363" s="7" t="s">
        <v>14</v>
      </c>
      <c r="J363" s="9"/>
    </row>
    <row r="364" ht="14.25" spans="1:10">
      <c r="A364" s="7" t="s">
        <v>146</v>
      </c>
      <c r="B364" s="7" t="s">
        <v>378</v>
      </c>
      <c r="C364" s="7" t="str">
        <f t="shared" si="16"/>
        <v>女</v>
      </c>
      <c r="D364" s="7" t="str">
        <f>"41282219931127262X"</f>
        <v>41282219931127262X</v>
      </c>
      <c r="E364" s="8" t="str">
        <f>"10960041301"</f>
        <v>10960041301</v>
      </c>
      <c r="F364" s="7" t="str">
        <f t="shared" ref="F364:F393" si="18">"13"</f>
        <v>13</v>
      </c>
      <c r="G364" s="7" t="str">
        <f>"01"</f>
        <v>01</v>
      </c>
      <c r="H364" s="7" t="s">
        <v>45</v>
      </c>
      <c r="I364" s="7">
        <v>73.4</v>
      </c>
      <c r="J364" s="9"/>
    </row>
    <row r="365" ht="14.25" spans="1:10">
      <c r="A365" s="7" t="s">
        <v>146</v>
      </c>
      <c r="B365" s="7" t="s">
        <v>379</v>
      </c>
      <c r="C365" s="7" t="str">
        <f t="shared" si="16"/>
        <v>男</v>
      </c>
      <c r="D365" s="7" t="str">
        <f>"411329199007230077"</f>
        <v>411329199007230077</v>
      </c>
      <c r="E365" s="8" t="str">
        <f>"10960041302"</f>
        <v>10960041302</v>
      </c>
      <c r="F365" s="7" t="str">
        <f t="shared" si="18"/>
        <v>13</v>
      </c>
      <c r="G365" s="7" t="str">
        <f>"02"</f>
        <v>02</v>
      </c>
      <c r="H365" s="7" t="s">
        <v>45</v>
      </c>
      <c r="I365" s="7">
        <v>68.6</v>
      </c>
      <c r="J365" s="9"/>
    </row>
    <row r="366" ht="14.25" spans="1:10">
      <c r="A366" s="7" t="s">
        <v>146</v>
      </c>
      <c r="B366" s="7" t="s">
        <v>380</v>
      </c>
      <c r="C366" s="7" t="str">
        <f t="shared" si="16"/>
        <v>女</v>
      </c>
      <c r="D366" s="7" t="str">
        <f>"411330199706091526"</f>
        <v>411330199706091526</v>
      </c>
      <c r="E366" s="8" t="str">
        <f>"10960041303"</f>
        <v>10960041303</v>
      </c>
      <c r="F366" s="7" t="str">
        <f t="shared" si="18"/>
        <v>13</v>
      </c>
      <c r="G366" s="7" t="str">
        <f>"03"</f>
        <v>03</v>
      </c>
      <c r="H366" s="7" t="s">
        <v>45</v>
      </c>
      <c r="I366" s="7" t="s">
        <v>14</v>
      </c>
      <c r="J366" s="9"/>
    </row>
    <row r="367" ht="14.25" spans="1:10">
      <c r="A367" s="7" t="s">
        <v>146</v>
      </c>
      <c r="B367" s="7" t="s">
        <v>381</v>
      </c>
      <c r="C367" s="7" t="str">
        <f t="shared" si="16"/>
        <v>女</v>
      </c>
      <c r="D367" s="7" t="str">
        <f>"412824199412011827"</f>
        <v>412824199412011827</v>
      </c>
      <c r="E367" s="8" t="str">
        <f>"10960041304"</f>
        <v>10960041304</v>
      </c>
      <c r="F367" s="7" t="str">
        <f t="shared" si="18"/>
        <v>13</v>
      </c>
      <c r="G367" s="7" t="str">
        <f>"04"</f>
        <v>04</v>
      </c>
      <c r="H367" s="7" t="s">
        <v>45</v>
      </c>
      <c r="I367" s="7" t="s">
        <v>14</v>
      </c>
      <c r="J367" s="9"/>
    </row>
    <row r="368" ht="14.25" spans="1:10">
      <c r="A368" s="7" t="s">
        <v>146</v>
      </c>
      <c r="B368" s="7" t="s">
        <v>382</v>
      </c>
      <c r="C368" s="7" t="str">
        <f t="shared" si="16"/>
        <v>女</v>
      </c>
      <c r="D368" s="7" t="str">
        <f>"411303199810300026"</f>
        <v>411303199810300026</v>
      </c>
      <c r="E368" s="8" t="str">
        <f>"10960041305"</f>
        <v>10960041305</v>
      </c>
      <c r="F368" s="7" t="str">
        <f t="shared" si="18"/>
        <v>13</v>
      </c>
      <c r="G368" s="7" t="str">
        <f>"05"</f>
        <v>05</v>
      </c>
      <c r="H368" s="7" t="s">
        <v>45</v>
      </c>
      <c r="I368" s="7">
        <v>73.6</v>
      </c>
      <c r="J368" s="9"/>
    </row>
    <row r="369" ht="14.25" spans="1:10">
      <c r="A369" s="7" t="s">
        <v>146</v>
      </c>
      <c r="B369" s="7" t="s">
        <v>383</v>
      </c>
      <c r="C369" s="7" t="str">
        <f t="shared" si="16"/>
        <v>男</v>
      </c>
      <c r="D369" s="7" t="str">
        <f>"411321199404043610"</f>
        <v>411321199404043610</v>
      </c>
      <c r="E369" s="8" t="str">
        <f>"10960041306"</f>
        <v>10960041306</v>
      </c>
      <c r="F369" s="7" t="str">
        <f t="shared" si="18"/>
        <v>13</v>
      </c>
      <c r="G369" s="7" t="str">
        <f>"06"</f>
        <v>06</v>
      </c>
      <c r="H369" s="7" t="s">
        <v>45</v>
      </c>
      <c r="I369" s="7">
        <v>69.9</v>
      </c>
      <c r="J369" s="9"/>
    </row>
    <row r="370" ht="14.25" spans="1:10">
      <c r="A370" s="7" t="s">
        <v>146</v>
      </c>
      <c r="B370" s="7" t="s">
        <v>384</v>
      </c>
      <c r="C370" s="7" t="str">
        <f t="shared" si="16"/>
        <v>女</v>
      </c>
      <c r="D370" s="7" t="str">
        <f>"41132419981006554X"</f>
        <v>41132419981006554X</v>
      </c>
      <c r="E370" s="8" t="str">
        <f>"10960041307"</f>
        <v>10960041307</v>
      </c>
      <c r="F370" s="7" t="str">
        <f t="shared" si="18"/>
        <v>13</v>
      </c>
      <c r="G370" s="7" t="str">
        <f>"07"</f>
        <v>07</v>
      </c>
      <c r="H370" s="7" t="s">
        <v>45</v>
      </c>
      <c r="I370" s="7" t="s">
        <v>14</v>
      </c>
      <c r="J370" s="9"/>
    </row>
    <row r="371" ht="14.25" spans="1:10">
      <c r="A371" s="7" t="s">
        <v>146</v>
      </c>
      <c r="B371" s="7" t="s">
        <v>385</v>
      </c>
      <c r="C371" s="7" t="str">
        <f t="shared" si="16"/>
        <v>女</v>
      </c>
      <c r="D371" s="7" t="str">
        <f>"411303199401010044"</f>
        <v>411303199401010044</v>
      </c>
      <c r="E371" s="8" t="str">
        <f>"10960041308"</f>
        <v>10960041308</v>
      </c>
      <c r="F371" s="7" t="str">
        <f t="shared" si="18"/>
        <v>13</v>
      </c>
      <c r="G371" s="7" t="str">
        <f>"08"</f>
        <v>08</v>
      </c>
      <c r="H371" s="7" t="s">
        <v>45</v>
      </c>
      <c r="I371" s="7" t="s">
        <v>14</v>
      </c>
      <c r="J371" s="9"/>
    </row>
    <row r="372" ht="14.25" spans="1:10">
      <c r="A372" s="7" t="s">
        <v>146</v>
      </c>
      <c r="B372" s="7" t="s">
        <v>386</v>
      </c>
      <c r="C372" s="7" t="str">
        <f t="shared" si="16"/>
        <v>女</v>
      </c>
      <c r="D372" s="7" t="str">
        <f>"411325199401100769"</f>
        <v>411325199401100769</v>
      </c>
      <c r="E372" s="8" t="str">
        <f>"10960041309"</f>
        <v>10960041309</v>
      </c>
      <c r="F372" s="7" t="str">
        <f t="shared" si="18"/>
        <v>13</v>
      </c>
      <c r="G372" s="7" t="str">
        <f>"09"</f>
        <v>09</v>
      </c>
      <c r="H372" s="7" t="s">
        <v>45</v>
      </c>
      <c r="I372" s="7" t="s">
        <v>14</v>
      </c>
      <c r="J372" s="9"/>
    </row>
    <row r="373" ht="14.25" spans="1:10">
      <c r="A373" s="7" t="s">
        <v>146</v>
      </c>
      <c r="B373" s="7" t="s">
        <v>387</v>
      </c>
      <c r="C373" s="7" t="str">
        <f t="shared" si="16"/>
        <v>女</v>
      </c>
      <c r="D373" s="7" t="str">
        <f>"411325199208070422"</f>
        <v>411325199208070422</v>
      </c>
      <c r="E373" s="8" t="str">
        <f>"10960041310"</f>
        <v>10960041310</v>
      </c>
      <c r="F373" s="7" t="str">
        <f t="shared" si="18"/>
        <v>13</v>
      </c>
      <c r="G373" s="7" t="str">
        <f>"10"</f>
        <v>10</v>
      </c>
      <c r="H373" s="7" t="s">
        <v>45</v>
      </c>
      <c r="I373" s="7">
        <v>60.4</v>
      </c>
      <c r="J373" s="9"/>
    </row>
    <row r="374" ht="14.25" spans="1:10">
      <c r="A374" s="7" t="s">
        <v>146</v>
      </c>
      <c r="B374" s="7" t="s">
        <v>388</v>
      </c>
      <c r="C374" s="7" t="str">
        <f t="shared" si="16"/>
        <v>女</v>
      </c>
      <c r="D374" s="7" t="str">
        <f>"411325199701265047"</f>
        <v>411325199701265047</v>
      </c>
      <c r="E374" s="8" t="str">
        <f>"10960041311"</f>
        <v>10960041311</v>
      </c>
      <c r="F374" s="7" t="str">
        <f t="shared" si="18"/>
        <v>13</v>
      </c>
      <c r="G374" s="7" t="str">
        <f>"11"</f>
        <v>11</v>
      </c>
      <c r="H374" s="7" t="s">
        <v>45</v>
      </c>
      <c r="I374" s="7" t="s">
        <v>14</v>
      </c>
      <c r="J374" s="9"/>
    </row>
    <row r="375" ht="14.25" spans="1:10">
      <c r="A375" s="7" t="s">
        <v>146</v>
      </c>
      <c r="B375" s="7" t="s">
        <v>389</v>
      </c>
      <c r="C375" s="7" t="str">
        <f t="shared" si="16"/>
        <v>男</v>
      </c>
      <c r="D375" s="7" t="str">
        <f>"412825199710052957"</f>
        <v>412825199710052957</v>
      </c>
      <c r="E375" s="8" t="str">
        <f>"10960041312"</f>
        <v>10960041312</v>
      </c>
      <c r="F375" s="7" t="str">
        <f t="shared" si="18"/>
        <v>13</v>
      </c>
      <c r="G375" s="7" t="str">
        <f>"12"</f>
        <v>12</v>
      </c>
      <c r="H375" s="7" t="s">
        <v>45</v>
      </c>
      <c r="I375" s="7" t="s">
        <v>14</v>
      </c>
      <c r="J375" s="9"/>
    </row>
    <row r="376" ht="14.25" spans="1:10">
      <c r="A376" s="7" t="s">
        <v>146</v>
      </c>
      <c r="B376" s="7" t="s">
        <v>390</v>
      </c>
      <c r="C376" s="7" t="str">
        <f t="shared" si="16"/>
        <v>男</v>
      </c>
      <c r="D376" s="7" t="str">
        <f>"370829199307230056"</f>
        <v>370829199307230056</v>
      </c>
      <c r="E376" s="8" t="str">
        <f>"10960041313"</f>
        <v>10960041313</v>
      </c>
      <c r="F376" s="7" t="str">
        <f t="shared" si="18"/>
        <v>13</v>
      </c>
      <c r="G376" s="7" t="str">
        <f>"13"</f>
        <v>13</v>
      </c>
      <c r="H376" s="7" t="s">
        <v>45</v>
      </c>
      <c r="I376" s="7" t="s">
        <v>14</v>
      </c>
      <c r="J376" s="9"/>
    </row>
    <row r="377" ht="14.25" spans="1:10">
      <c r="A377" s="7" t="s">
        <v>146</v>
      </c>
      <c r="B377" s="7" t="s">
        <v>391</v>
      </c>
      <c r="C377" s="7" t="str">
        <f t="shared" si="16"/>
        <v>男</v>
      </c>
      <c r="D377" s="7" t="str">
        <f>"411328199904010756"</f>
        <v>411328199904010756</v>
      </c>
      <c r="E377" s="8" t="str">
        <f>"10960041314"</f>
        <v>10960041314</v>
      </c>
      <c r="F377" s="7" t="str">
        <f t="shared" si="18"/>
        <v>13</v>
      </c>
      <c r="G377" s="7" t="str">
        <f>"14"</f>
        <v>14</v>
      </c>
      <c r="H377" s="7" t="s">
        <v>45</v>
      </c>
      <c r="I377" s="7">
        <v>55.6</v>
      </c>
      <c r="J377" s="9"/>
    </row>
    <row r="378" ht="14.25" spans="1:10">
      <c r="A378" s="7" t="s">
        <v>146</v>
      </c>
      <c r="B378" s="7" t="s">
        <v>392</v>
      </c>
      <c r="C378" s="7" t="str">
        <f t="shared" si="16"/>
        <v>男</v>
      </c>
      <c r="D378" s="7" t="str">
        <f>"41130319941207051X"</f>
        <v>41130319941207051X</v>
      </c>
      <c r="E378" s="8" t="str">
        <f>"10960041315"</f>
        <v>10960041315</v>
      </c>
      <c r="F378" s="7" t="str">
        <f t="shared" si="18"/>
        <v>13</v>
      </c>
      <c r="G378" s="7" t="str">
        <f>"15"</f>
        <v>15</v>
      </c>
      <c r="H378" s="7" t="s">
        <v>45</v>
      </c>
      <c r="I378" s="7">
        <v>66.7</v>
      </c>
      <c r="J378" s="9"/>
    </row>
    <row r="379" ht="14.25" spans="1:10">
      <c r="A379" s="7" t="s">
        <v>146</v>
      </c>
      <c r="B379" s="7" t="s">
        <v>393</v>
      </c>
      <c r="C379" s="7" t="str">
        <f t="shared" si="16"/>
        <v>女</v>
      </c>
      <c r="D379" s="7" t="str">
        <f>"412928199702051326"</f>
        <v>412928199702051326</v>
      </c>
      <c r="E379" s="8" t="str">
        <f>"10960041316"</f>
        <v>10960041316</v>
      </c>
      <c r="F379" s="7" t="str">
        <f t="shared" si="18"/>
        <v>13</v>
      </c>
      <c r="G379" s="7" t="str">
        <f>"16"</f>
        <v>16</v>
      </c>
      <c r="H379" s="7" t="s">
        <v>45</v>
      </c>
      <c r="I379" s="7">
        <v>70.7</v>
      </c>
      <c r="J379" s="9"/>
    </row>
    <row r="380" ht="14.25" spans="1:10">
      <c r="A380" s="7" t="s">
        <v>146</v>
      </c>
      <c r="B380" s="7" t="s">
        <v>268</v>
      </c>
      <c r="C380" s="7" t="str">
        <f t="shared" si="16"/>
        <v>女</v>
      </c>
      <c r="D380" s="7" t="str">
        <f>"41132519990420042X"</f>
        <v>41132519990420042X</v>
      </c>
      <c r="E380" s="8" t="str">
        <f>"10960041317"</f>
        <v>10960041317</v>
      </c>
      <c r="F380" s="7" t="str">
        <f t="shared" si="18"/>
        <v>13</v>
      </c>
      <c r="G380" s="7" t="str">
        <f>"17"</f>
        <v>17</v>
      </c>
      <c r="H380" s="7" t="s">
        <v>45</v>
      </c>
      <c r="I380" s="7">
        <v>60.2</v>
      </c>
      <c r="J380" s="9"/>
    </row>
    <row r="381" ht="14.25" spans="1:10">
      <c r="A381" s="7" t="s">
        <v>394</v>
      </c>
      <c r="B381" s="7" t="s">
        <v>395</v>
      </c>
      <c r="C381" s="7" t="str">
        <f t="shared" si="16"/>
        <v>女</v>
      </c>
      <c r="D381" s="7" t="str">
        <f>"411325199610244523"</f>
        <v>411325199610244523</v>
      </c>
      <c r="E381" s="8" t="str">
        <f>"10960051318"</f>
        <v>10960051318</v>
      </c>
      <c r="F381" s="7" t="str">
        <f t="shared" si="18"/>
        <v>13</v>
      </c>
      <c r="G381" s="7" t="str">
        <f>"18"</f>
        <v>18</v>
      </c>
      <c r="H381" s="7" t="s">
        <v>13</v>
      </c>
      <c r="I381" s="7">
        <v>70.8</v>
      </c>
      <c r="J381" s="9"/>
    </row>
    <row r="382" ht="14.25" spans="1:10">
      <c r="A382" s="7" t="s">
        <v>394</v>
      </c>
      <c r="B382" s="7" t="s">
        <v>396</v>
      </c>
      <c r="C382" s="7" t="str">
        <f t="shared" si="16"/>
        <v>女</v>
      </c>
      <c r="D382" s="7" t="str">
        <f>"411325199406110042"</f>
        <v>411325199406110042</v>
      </c>
      <c r="E382" s="8" t="str">
        <f>"10960051319"</f>
        <v>10960051319</v>
      </c>
      <c r="F382" s="7" t="str">
        <f t="shared" si="18"/>
        <v>13</v>
      </c>
      <c r="G382" s="7" t="str">
        <f>"19"</f>
        <v>19</v>
      </c>
      <c r="H382" s="7" t="s">
        <v>13</v>
      </c>
      <c r="I382" s="7">
        <v>59.2</v>
      </c>
      <c r="J382" s="9"/>
    </row>
    <row r="383" ht="14.25" spans="1:10">
      <c r="A383" s="7" t="s">
        <v>394</v>
      </c>
      <c r="B383" s="7" t="s">
        <v>397</v>
      </c>
      <c r="C383" s="7" t="str">
        <f t="shared" si="16"/>
        <v>男</v>
      </c>
      <c r="D383" s="7" t="str">
        <f>"411303199604050513"</f>
        <v>411303199604050513</v>
      </c>
      <c r="E383" s="8" t="str">
        <f>"10960051320"</f>
        <v>10960051320</v>
      </c>
      <c r="F383" s="7" t="str">
        <f t="shared" si="18"/>
        <v>13</v>
      </c>
      <c r="G383" s="7" t="str">
        <f>"20"</f>
        <v>20</v>
      </c>
      <c r="H383" s="7" t="s">
        <v>13</v>
      </c>
      <c r="I383" s="7" t="s">
        <v>14</v>
      </c>
      <c r="J383" s="9"/>
    </row>
    <row r="384" ht="14.25" spans="1:10">
      <c r="A384" s="7" t="s">
        <v>394</v>
      </c>
      <c r="B384" s="7" t="s">
        <v>398</v>
      </c>
      <c r="C384" s="7" t="str">
        <f t="shared" si="16"/>
        <v>女</v>
      </c>
      <c r="D384" s="7" t="str">
        <f>"411381199404221743"</f>
        <v>411381199404221743</v>
      </c>
      <c r="E384" s="8" t="str">
        <f>"10960051321"</f>
        <v>10960051321</v>
      </c>
      <c r="F384" s="7" t="str">
        <f t="shared" si="18"/>
        <v>13</v>
      </c>
      <c r="G384" s="7" t="str">
        <f>"21"</f>
        <v>21</v>
      </c>
      <c r="H384" s="7" t="s">
        <v>13</v>
      </c>
      <c r="I384" s="7" t="s">
        <v>14</v>
      </c>
      <c r="J384" s="9"/>
    </row>
    <row r="385" ht="14.25" spans="1:10">
      <c r="A385" s="7" t="s">
        <v>394</v>
      </c>
      <c r="B385" s="7" t="s">
        <v>399</v>
      </c>
      <c r="C385" s="7" t="str">
        <f t="shared" si="16"/>
        <v>女</v>
      </c>
      <c r="D385" s="7" t="str">
        <f>"411325199306150426"</f>
        <v>411325199306150426</v>
      </c>
      <c r="E385" s="8" t="str">
        <f>"10960051322"</f>
        <v>10960051322</v>
      </c>
      <c r="F385" s="7" t="str">
        <f t="shared" si="18"/>
        <v>13</v>
      </c>
      <c r="G385" s="7" t="str">
        <f>"22"</f>
        <v>22</v>
      </c>
      <c r="H385" s="7" t="s">
        <v>13</v>
      </c>
      <c r="I385" s="7">
        <v>69.1</v>
      </c>
      <c r="J385" s="9"/>
    </row>
    <row r="386" ht="14.25" spans="1:10">
      <c r="A386" s="7" t="s">
        <v>394</v>
      </c>
      <c r="B386" s="7" t="s">
        <v>400</v>
      </c>
      <c r="C386" s="7" t="str">
        <f t="shared" si="16"/>
        <v>女</v>
      </c>
      <c r="D386" s="7" t="str">
        <f>"411325199111227024"</f>
        <v>411325199111227024</v>
      </c>
      <c r="E386" s="8" t="str">
        <f>"10960051323"</f>
        <v>10960051323</v>
      </c>
      <c r="F386" s="7" t="str">
        <f t="shared" si="18"/>
        <v>13</v>
      </c>
      <c r="G386" s="7" t="str">
        <f>"23"</f>
        <v>23</v>
      </c>
      <c r="H386" s="7" t="s">
        <v>13</v>
      </c>
      <c r="I386" s="7" t="s">
        <v>14</v>
      </c>
      <c r="J386" s="9"/>
    </row>
    <row r="387" ht="14.25" spans="1:10">
      <c r="A387" s="7" t="s">
        <v>394</v>
      </c>
      <c r="B387" s="7" t="s">
        <v>401</v>
      </c>
      <c r="C387" s="7" t="str">
        <f t="shared" si="16"/>
        <v>女</v>
      </c>
      <c r="D387" s="7" t="str">
        <f>"411325199812024123"</f>
        <v>411325199812024123</v>
      </c>
      <c r="E387" s="8" t="str">
        <f>"10960051324"</f>
        <v>10960051324</v>
      </c>
      <c r="F387" s="7" t="str">
        <f t="shared" si="18"/>
        <v>13</v>
      </c>
      <c r="G387" s="7" t="str">
        <f>"24"</f>
        <v>24</v>
      </c>
      <c r="H387" s="7" t="s">
        <v>13</v>
      </c>
      <c r="I387" s="7" t="s">
        <v>14</v>
      </c>
      <c r="J387" s="9"/>
    </row>
    <row r="388" ht="14.25" spans="1:10">
      <c r="A388" s="7" t="s">
        <v>394</v>
      </c>
      <c r="B388" s="7" t="s">
        <v>402</v>
      </c>
      <c r="C388" s="7" t="str">
        <f t="shared" ref="C388:C451" si="19">IF(MOD(MID(D388,17,1),2),"男","女")</f>
        <v>男</v>
      </c>
      <c r="D388" s="7" t="str">
        <f>"411325199407124139"</f>
        <v>411325199407124139</v>
      </c>
      <c r="E388" s="8" t="str">
        <f>"10960051325"</f>
        <v>10960051325</v>
      </c>
      <c r="F388" s="7" t="str">
        <f t="shared" si="18"/>
        <v>13</v>
      </c>
      <c r="G388" s="7" t="str">
        <f>"25"</f>
        <v>25</v>
      </c>
      <c r="H388" s="7" t="s">
        <v>13</v>
      </c>
      <c r="I388" s="7">
        <v>59</v>
      </c>
      <c r="J388" s="9"/>
    </row>
    <row r="389" ht="14.25" spans="1:10">
      <c r="A389" s="7" t="s">
        <v>394</v>
      </c>
      <c r="B389" s="7" t="s">
        <v>403</v>
      </c>
      <c r="C389" s="7" t="str">
        <f t="shared" si="19"/>
        <v>男</v>
      </c>
      <c r="D389" s="7" t="str">
        <f>"412702198907226039"</f>
        <v>412702198907226039</v>
      </c>
      <c r="E389" s="8" t="str">
        <f>"10960051326"</f>
        <v>10960051326</v>
      </c>
      <c r="F389" s="7" t="str">
        <f t="shared" si="18"/>
        <v>13</v>
      </c>
      <c r="G389" s="7" t="str">
        <f>"26"</f>
        <v>26</v>
      </c>
      <c r="H389" s="7" t="s">
        <v>45</v>
      </c>
      <c r="I389" s="7" t="s">
        <v>14</v>
      </c>
      <c r="J389" s="9"/>
    </row>
    <row r="390" ht="14.25" spans="1:10">
      <c r="A390" s="7" t="s">
        <v>404</v>
      </c>
      <c r="B390" s="7" t="s">
        <v>405</v>
      </c>
      <c r="C390" s="7" t="str">
        <f t="shared" si="19"/>
        <v>女</v>
      </c>
      <c r="D390" s="7" t="str">
        <f>"411329199906263980"</f>
        <v>411329199906263980</v>
      </c>
      <c r="E390" s="8" t="str">
        <f>"10960061327"</f>
        <v>10960061327</v>
      </c>
      <c r="F390" s="7" t="str">
        <f t="shared" si="18"/>
        <v>13</v>
      </c>
      <c r="G390" s="7" t="str">
        <f>"27"</f>
        <v>27</v>
      </c>
      <c r="H390" s="7" t="s">
        <v>13</v>
      </c>
      <c r="I390" s="7" t="s">
        <v>14</v>
      </c>
      <c r="J390" s="9"/>
    </row>
    <row r="391" ht="14.25" spans="1:10">
      <c r="A391" s="7" t="s">
        <v>404</v>
      </c>
      <c r="B391" s="7" t="s">
        <v>406</v>
      </c>
      <c r="C391" s="7" t="str">
        <f t="shared" si="19"/>
        <v>男</v>
      </c>
      <c r="D391" s="7" t="str">
        <f>"411325199505110419"</f>
        <v>411325199505110419</v>
      </c>
      <c r="E391" s="8" t="str">
        <f>"10960061328"</f>
        <v>10960061328</v>
      </c>
      <c r="F391" s="7" t="str">
        <f t="shared" si="18"/>
        <v>13</v>
      </c>
      <c r="G391" s="7" t="str">
        <f>"28"</f>
        <v>28</v>
      </c>
      <c r="H391" s="7" t="s">
        <v>13</v>
      </c>
      <c r="I391" s="7">
        <v>53.7</v>
      </c>
      <c r="J391" s="9"/>
    </row>
    <row r="392" ht="14.25" spans="1:10">
      <c r="A392" s="7" t="s">
        <v>404</v>
      </c>
      <c r="B392" s="7" t="s">
        <v>407</v>
      </c>
      <c r="C392" s="7" t="str">
        <f t="shared" si="19"/>
        <v>女</v>
      </c>
      <c r="D392" s="7" t="str">
        <f>"411326199504056920"</f>
        <v>411326199504056920</v>
      </c>
      <c r="E392" s="8" t="str">
        <f>"10960061329"</f>
        <v>10960061329</v>
      </c>
      <c r="F392" s="7" t="str">
        <f t="shared" si="18"/>
        <v>13</v>
      </c>
      <c r="G392" s="7" t="str">
        <f>"29"</f>
        <v>29</v>
      </c>
      <c r="H392" s="7" t="s">
        <v>13</v>
      </c>
      <c r="I392" s="7" t="s">
        <v>14</v>
      </c>
      <c r="J392" s="9"/>
    </row>
    <row r="393" ht="14.25" spans="1:10">
      <c r="A393" s="7" t="s">
        <v>404</v>
      </c>
      <c r="B393" s="7" t="s">
        <v>408</v>
      </c>
      <c r="C393" s="7" t="str">
        <f t="shared" si="19"/>
        <v>男</v>
      </c>
      <c r="D393" s="7" t="str">
        <f>"411321199704111531"</f>
        <v>411321199704111531</v>
      </c>
      <c r="E393" s="8" t="str">
        <f>"10960061330"</f>
        <v>10960061330</v>
      </c>
      <c r="F393" s="7" t="str">
        <f t="shared" si="18"/>
        <v>13</v>
      </c>
      <c r="G393" s="7" t="str">
        <f>"30"</f>
        <v>30</v>
      </c>
      <c r="H393" s="7" t="s">
        <v>13</v>
      </c>
      <c r="I393" s="7" t="s">
        <v>14</v>
      </c>
      <c r="J393" s="9"/>
    </row>
    <row r="394" ht="14.25" spans="1:10">
      <c r="A394" s="7" t="s">
        <v>404</v>
      </c>
      <c r="B394" s="7" t="s">
        <v>409</v>
      </c>
      <c r="C394" s="7" t="str">
        <f t="shared" si="19"/>
        <v>男</v>
      </c>
      <c r="D394" s="7" t="str">
        <f>"411325199605280415"</f>
        <v>411325199605280415</v>
      </c>
      <c r="E394" s="8" t="str">
        <f>"10960061401"</f>
        <v>10960061401</v>
      </c>
      <c r="F394" s="7" t="str">
        <f t="shared" ref="F394:F423" si="20">"14"</f>
        <v>14</v>
      </c>
      <c r="G394" s="7" t="str">
        <f>"01"</f>
        <v>01</v>
      </c>
      <c r="H394" s="7" t="s">
        <v>13</v>
      </c>
      <c r="I394" s="7">
        <v>63.4</v>
      </c>
      <c r="J394" s="9"/>
    </row>
    <row r="395" ht="14.25" spans="1:10">
      <c r="A395" s="7" t="s">
        <v>404</v>
      </c>
      <c r="B395" s="7" t="s">
        <v>410</v>
      </c>
      <c r="C395" s="7" t="str">
        <f t="shared" si="19"/>
        <v>男</v>
      </c>
      <c r="D395" s="7" t="str">
        <f>"411321199210150012"</f>
        <v>411321199210150012</v>
      </c>
      <c r="E395" s="8" t="str">
        <f>"10960061402"</f>
        <v>10960061402</v>
      </c>
      <c r="F395" s="7" t="str">
        <f t="shared" si="20"/>
        <v>14</v>
      </c>
      <c r="G395" s="7" t="str">
        <f>"02"</f>
        <v>02</v>
      </c>
      <c r="H395" s="7" t="s">
        <v>13</v>
      </c>
      <c r="I395" s="7" t="s">
        <v>14</v>
      </c>
      <c r="J395" s="9"/>
    </row>
    <row r="396" ht="14.25" spans="1:10">
      <c r="A396" s="7" t="s">
        <v>404</v>
      </c>
      <c r="B396" s="7" t="s">
        <v>411</v>
      </c>
      <c r="C396" s="7" t="str">
        <f t="shared" si="19"/>
        <v>男</v>
      </c>
      <c r="D396" s="7" t="str">
        <f>"411325199605129416"</f>
        <v>411325199605129416</v>
      </c>
      <c r="E396" s="8" t="str">
        <f>"10960061403"</f>
        <v>10960061403</v>
      </c>
      <c r="F396" s="7" t="str">
        <f t="shared" si="20"/>
        <v>14</v>
      </c>
      <c r="G396" s="7" t="str">
        <f>"03"</f>
        <v>03</v>
      </c>
      <c r="H396" s="7" t="s">
        <v>13</v>
      </c>
      <c r="I396" s="7" t="s">
        <v>14</v>
      </c>
      <c r="J396" s="9"/>
    </row>
    <row r="397" ht="14.25" spans="1:10">
      <c r="A397" s="7" t="s">
        <v>404</v>
      </c>
      <c r="B397" s="7" t="s">
        <v>412</v>
      </c>
      <c r="C397" s="7" t="str">
        <f t="shared" si="19"/>
        <v>女</v>
      </c>
      <c r="D397" s="7" t="str">
        <f>"411325199703040028"</f>
        <v>411325199703040028</v>
      </c>
      <c r="E397" s="8" t="str">
        <f>"10960061404"</f>
        <v>10960061404</v>
      </c>
      <c r="F397" s="7" t="str">
        <f t="shared" si="20"/>
        <v>14</v>
      </c>
      <c r="G397" s="7" t="str">
        <f>"04"</f>
        <v>04</v>
      </c>
      <c r="H397" s="7" t="s">
        <v>13</v>
      </c>
      <c r="I397" s="7">
        <v>62.1</v>
      </c>
      <c r="J397" s="9"/>
    </row>
    <row r="398" ht="14.25" spans="1:10">
      <c r="A398" s="7" t="s">
        <v>404</v>
      </c>
      <c r="B398" s="7" t="s">
        <v>413</v>
      </c>
      <c r="C398" s="7" t="str">
        <f t="shared" si="19"/>
        <v>男</v>
      </c>
      <c r="D398" s="7" t="str">
        <f>"411328199605220059"</f>
        <v>411328199605220059</v>
      </c>
      <c r="E398" s="8" t="str">
        <f>"10960061405"</f>
        <v>10960061405</v>
      </c>
      <c r="F398" s="7" t="str">
        <f t="shared" si="20"/>
        <v>14</v>
      </c>
      <c r="G398" s="7" t="str">
        <f>"05"</f>
        <v>05</v>
      </c>
      <c r="H398" s="7" t="s">
        <v>13</v>
      </c>
      <c r="I398" s="7" t="s">
        <v>14</v>
      </c>
      <c r="J398" s="9"/>
    </row>
    <row r="399" ht="14.25" spans="1:10">
      <c r="A399" s="7" t="s">
        <v>404</v>
      </c>
      <c r="B399" s="7" t="s">
        <v>414</v>
      </c>
      <c r="C399" s="7" t="str">
        <f t="shared" si="19"/>
        <v>女</v>
      </c>
      <c r="D399" s="7" t="str">
        <f>"411328199502155020"</f>
        <v>411328199502155020</v>
      </c>
      <c r="E399" s="8" t="str">
        <f>"10960061406"</f>
        <v>10960061406</v>
      </c>
      <c r="F399" s="7" t="str">
        <f t="shared" si="20"/>
        <v>14</v>
      </c>
      <c r="G399" s="7" t="str">
        <f>"06"</f>
        <v>06</v>
      </c>
      <c r="H399" s="7" t="s">
        <v>13</v>
      </c>
      <c r="I399" s="7">
        <v>53.5</v>
      </c>
      <c r="J399" s="9"/>
    </row>
    <row r="400" ht="14.25" spans="1:10">
      <c r="A400" s="7" t="s">
        <v>404</v>
      </c>
      <c r="B400" s="7" t="s">
        <v>415</v>
      </c>
      <c r="C400" s="7" t="str">
        <f t="shared" si="19"/>
        <v>男</v>
      </c>
      <c r="D400" s="7" t="str">
        <f>"411325199611180736"</f>
        <v>411325199611180736</v>
      </c>
      <c r="E400" s="8" t="str">
        <f>"10960061407"</f>
        <v>10960061407</v>
      </c>
      <c r="F400" s="7" t="str">
        <f t="shared" si="20"/>
        <v>14</v>
      </c>
      <c r="G400" s="7" t="str">
        <f>"07"</f>
        <v>07</v>
      </c>
      <c r="H400" s="7" t="s">
        <v>13</v>
      </c>
      <c r="I400" s="7" t="s">
        <v>14</v>
      </c>
      <c r="J400" s="9"/>
    </row>
    <row r="401" ht="14.25" spans="1:10">
      <c r="A401" s="7" t="s">
        <v>404</v>
      </c>
      <c r="B401" s="7" t="s">
        <v>416</v>
      </c>
      <c r="C401" s="7" t="str">
        <f t="shared" si="19"/>
        <v>男</v>
      </c>
      <c r="D401" s="7" t="str">
        <f>"41132519921202295X"</f>
        <v>41132519921202295X</v>
      </c>
      <c r="E401" s="8" t="str">
        <f>"10960061408"</f>
        <v>10960061408</v>
      </c>
      <c r="F401" s="7" t="str">
        <f t="shared" si="20"/>
        <v>14</v>
      </c>
      <c r="G401" s="7" t="str">
        <f>"08"</f>
        <v>08</v>
      </c>
      <c r="H401" s="7" t="s">
        <v>13</v>
      </c>
      <c r="I401" s="7">
        <v>68.3</v>
      </c>
      <c r="J401" s="9"/>
    </row>
    <row r="402" ht="14.25" spans="1:10">
      <c r="A402" s="7" t="s">
        <v>404</v>
      </c>
      <c r="B402" s="7" t="s">
        <v>417</v>
      </c>
      <c r="C402" s="7" t="str">
        <f t="shared" si="19"/>
        <v>男</v>
      </c>
      <c r="D402" s="7" t="str">
        <f>"412828199404240318"</f>
        <v>412828199404240318</v>
      </c>
      <c r="E402" s="8" t="str">
        <f>"10960061409"</f>
        <v>10960061409</v>
      </c>
      <c r="F402" s="7" t="str">
        <f t="shared" si="20"/>
        <v>14</v>
      </c>
      <c r="G402" s="7" t="str">
        <f>"09"</f>
        <v>09</v>
      </c>
      <c r="H402" s="7" t="s">
        <v>13</v>
      </c>
      <c r="I402" s="7">
        <v>59</v>
      </c>
      <c r="J402" s="9"/>
    </row>
    <row r="403" ht="14.25" spans="1:10">
      <c r="A403" s="7" t="s">
        <v>404</v>
      </c>
      <c r="B403" s="7" t="s">
        <v>418</v>
      </c>
      <c r="C403" s="7" t="str">
        <f t="shared" si="19"/>
        <v>男</v>
      </c>
      <c r="D403" s="7" t="str">
        <f>"411325199701012330"</f>
        <v>411325199701012330</v>
      </c>
      <c r="E403" s="8" t="str">
        <f>"10960061410"</f>
        <v>10960061410</v>
      </c>
      <c r="F403" s="7" t="str">
        <f t="shared" si="20"/>
        <v>14</v>
      </c>
      <c r="G403" s="7" t="str">
        <f>"10"</f>
        <v>10</v>
      </c>
      <c r="H403" s="7" t="s">
        <v>13</v>
      </c>
      <c r="I403" s="7" t="s">
        <v>14</v>
      </c>
      <c r="J403" s="9"/>
    </row>
    <row r="404" ht="14.25" spans="1:10">
      <c r="A404" s="7" t="s">
        <v>404</v>
      </c>
      <c r="B404" s="7" t="s">
        <v>419</v>
      </c>
      <c r="C404" s="7" t="str">
        <f t="shared" si="19"/>
        <v>男</v>
      </c>
      <c r="D404" s="7" t="str">
        <f>"411325200002150414"</f>
        <v>411325200002150414</v>
      </c>
      <c r="E404" s="8" t="str">
        <f>"10960061411"</f>
        <v>10960061411</v>
      </c>
      <c r="F404" s="7" t="str">
        <f t="shared" si="20"/>
        <v>14</v>
      </c>
      <c r="G404" s="7" t="str">
        <f>"11"</f>
        <v>11</v>
      </c>
      <c r="H404" s="7" t="s">
        <v>13</v>
      </c>
      <c r="I404" s="7">
        <v>55</v>
      </c>
      <c r="J404" s="9"/>
    </row>
    <row r="405" ht="14.25" spans="1:10">
      <c r="A405" s="7" t="s">
        <v>404</v>
      </c>
      <c r="B405" s="7" t="s">
        <v>420</v>
      </c>
      <c r="C405" s="7" t="str">
        <f t="shared" si="19"/>
        <v>男</v>
      </c>
      <c r="D405" s="7" t="str">
        <f>"411328199709133996"</f>
        <v>411328199709133996</v>
      </c>
      <c r="E405" s="8" t="str">
        <f>"10960061412"</f>
        <v>10960061412</v>
      </c>
      <c r="F405" s="7" t="str">
        <f t="shared" si="20"/>
        <v>14</v>
      </c>
      <c r="G405" s="7" t="str">
        <f>"12"</f>
        <v>12</v>
      </c>
      <c r="H405" s="7" t="s">
        <v>13</v>
      </c>
      <c r="I405" s="7" t="s">
        <v>14</v>
      </c>
      <c r="J405" s="9"/>
    </row>
    <row r="406" ht="14.25" spans="1:10">
      <c r="A406" s="7" t="s">
        <v>404</v>
      </c>
      <c r="B406" s="7" t="s">
        <v>421</v>
      </c>
      <c r="C406" s="7" t="str">
        <f t="shared" si="19"/>
        <v>男</v>
      </c>
      <c r="D406" s="7" t="str">
        <f>"411325199804170438"</f>
        <v>411325199804170438</v>
      </c>
      <c r="E406" s="8" t="str">
        <f>"10960061413"</f>
        <v>10960061413</v>
      </c>
      <c r="F406" s="7" t="str">
        <f t="shared" si="20"/>
        <v>14</v>
      </c>
      <c r="G406" s="7" t="str">
        <f>"13"</f>
        <v>13</v>
      </c>
      <c r="H406" s="7" t="s">
        <v>13</v>
      </c>
      <c r="I406" s="7" t="s">
        <v>14</v>
      </c>
      <c r="J406" s="9"/>
    </row>
    <row r="407" ht="14.25" spans="1:10">
      <c r="A407" s="7" t="s">
        <v>404</v>
      </c>
      <c r="B407" s="7" t="s">
        <v>422</v>
      </c>
      <c r="C407" s="7" t="str">
        <f t="shared" si="19"/>
        <v>女</v>
      </c>
      <c r="D407" s="7" t="str">
        <f>"411325199812171326"</f>
        <v>411325199812171326</v>
      </c>
      <c r="E407" s="8" t="str">
        <f>"10960061414"</f>
        <v>10960061414</v>
      </c>
      <c r="F407" s="7" t="str">
        <f t="shared" si="20"/>
        <v>14</v>
      </c>
      <c r="G407" s="7" t="str">
        <f>"14"</f>
        <v>14</v>
      </c>
      <c r="H407" s="7" t="s">
        <v>13</v>
      </c>
      <c r="I407" s="7">
        <v>70.5</v>
      </c>
      <c r="J407" s="9"/>
    </row>
    <row r="408" ht="14.25" spans="1:10">
      <c r="A408" s="7" t="s">
        <v>404</v>
      </c>
      <c r="B408" s="7" t="s">
        <v>423</v>
      </c>
      <c r="C408" s="7" t="str">
        <f t="shared" si="19"/>
        <v>男</v>
      </c>
      <c r="D408" s="7" t="str">
        <f>"411322199703284517"</f>
        <v>411322199703284517</v>
      </c>
      <c r="E408" s="8" t="str">
        <f>"10960061415"</f>
        <v>10960061415</v>
      </c>
      <c r="F408" s="7" t="str">
        <f t="shared" si="20"/>
        <v>14</v>
      </c>
      <c r="G408" s="7" t="str">
        <f>"15"</f>
        <v>15</v>
      </c>
      <c r="H408" s="7" t="s">
        <v>13</v>
      </c>
      <c r="I408" s="7">
        <v>51.4</v>
      </c>
      <c r="J408" s="9"/>
    </row>
    <row r="409" ht="14.25" spans="1:10">
      <c r="A409" s="7" t="s">
        <v>404</v>
      </c>
      <c r="B409" s="7" t="s">
        <v>424</v>
      </c>
      <c r="C409" s="7" t="str">
        <f t="shared" si="19"/>
        <v>女</v>
      </c>
      <c r="D409" s="7" t="str">
        <f>"411326199901170022"</f>
        <v>411326199901170022</v>
      </c>
      <c r="E409" s="8" t="str">
        <f>"10960061416"</f>
        <v>10960061416</v>
      </c>
      <c r="F409" s="7" t="str">
        <f t="shared" si="20"/>
        <v>14</v>
      </c>
      <c r="G409" s="7" t="str">
        <f>"16"</f>
        <v>16</v>
      </c>
      <c r="H409" s="7" t="s">
        <v>13</v>
      </c>
      <c r="I409" s="7">
        <v>28</v>
      </c>
      <c r="J409" s="11"/>
    </row>
    <row r="410" ht="14.25" spans="1:10">
      <c r="A410" s="7" t="s">
        <v>404</v>
      </c>
      <c r="B410" s="7" t="s">
        <v>425</v>
      </c>
      <c r="C410" s="7" t="str">
        <f t="shared" si="19"/>
        <v>女</v>
      </c>
      <c r="D410" s="7" t="str">
        <f>"411323199709091720"</f>
        <v>411323199709091720</v>
      </c>
      <c r="E410" s="8" t="str">
        <f>"10960061417"</f>
        <v>10960061417</v>
      </c>
      <c r="F410" s="7" t="str">
        <f t="shared" si="20"/>
        <v>14</v>
      </c>
      <c r="G410" s="7" t="str">
        <f>"17"</f>
        <v>17</v>
      </c>
      <c r="H410" s="7" t="s">
        <v>13</v>
      </c>
      <c r="I410" s="7" t="s">
        <v>14</v>
      </c>
      <c r="J410" s="9"/>
    </row>
    <row r="411" ht="14.25" spans="1:10">
      <c r="A411" s="7" t="s">
        <v>404</v>
      </c>
      <c r="B411" s="7" t="s">
        <v>426</v>
      </c>
      <c r="C411" s="7" t="str">
        <f t="shared" si="19"/>
        <v>男</v>
      </c>
      <c r="D411" s="7" t="str">
        <f>"410324199201220312"</f>
        <v>410324199201220312</v>
      </c>
      <c r="E411" s="8" t="str">
        <f>"10960061418"</f>
        <v>10960061418</v>
      </c>
      <c r="F411" s="7" t="str">
        <f t="shared" si="20"/>
        <v>14</v>
      </c>
      <c r="G411" s="7" t="str">
        <f>"18"</f>
        <v>18</v>
      </c>
      <c r="H411" s="7" t="s">
        <v>13</v>
      </c>
      <c r="I411" s="7" t="s">
        <v>14</v>
      </c>
      <c r="J411" s="9"/>
    </row>
    <row r="412" ht="14.25" spans="1:10">
      <c r="A412" s="7" t="s">
        <v>404</v>
      </c>
      <c r="B412" s="7" t="s">
        <v>427</v>
      </c>
      <c r="C412" s="7" t="str">
        <f t="shared" si="19"/>
        <v>男</v>
      </c>
      <c r="D412" s="7" t="str">
        <f>"411325199501080419"</f>
        <v>411325199501080419</v>
      </c>
      <c r="E412" s="8" t="str">
        <f>"10960061419"</f>
        <v>10960061419</v>
      </c>
      <c r="F412" s="7" t="str">
        <f t="shared" si="20"/>
        <v>14</v>
      </c>
      <c r="G412" s="7" t="str">
        <f>"19"</f>
        <v>19</v>
      </c>
      <c r="H412" s="7" t="s">
        <v>13</v>
      </c>
      <c r="I412" s="7">
        <v>54.7</v>
      </c>
      <c r="J412" s="9"/>
    </row>
    <row r="413" ht="14.25" spans="1:10">
      <c r="A413" s="7" t="s">
        <v>404</v>
      </c>
      <c r="B413" s="7" t="s">
        <v>428</v>
      </c>
      <c r="C413" s="7" t="str">
        <f t="shared" si="19"/>
        <v>女</v>
      </c>
      <c r="D413" s="7" t="str">
        <f>"33032419911029456X"</f>
        <v>33032419911029456X</v>
      </c>
      <c r="E413" s="8" t="str">
        <f>"10960061420"</f>
        <v>10960061420</v>
      </c>
      <c r="F413" s="7" t="str">
        <f t="shared" si="20"/>
        <v>14</v>
      </c>
      <c r="G413" s="7" t="str">
        <f>"20"</f>
        <v>20</v>
      </c>
      <c r="H413" s="7" t="s">
        <v>13</v>
      </c>
      <c r="I413" s="7">
        <v>64.1</v>
      </c>
      <c r="J413" s="9"/>
    </row>
    <row r="414" ht="14.25" spans="1:10">
      <c r="A414" s="7" t="s">
        <v>404</v>
      </c>
      <c r="B414" s="7" t="s">
        <v>429</v>
      </c>
      <c r="C414" s="7" t="str">
        <f t="shared" si="19"/>
        <v>男</v>
      </c>
      <c r="D414" s="7" t="str">
        <f>"411325199703170017"</f>
        <v>411325199703170017</v>
      </c>
      <c r="E414" s="8" t="str">
        <f>"10960061421"</f>
        <v>10960061421</v>
      </c>
      <c r="F414" s="7" t="str">
        <f t="shared" si="20"/>
        <v>14</v>
      </c>
      <c r="G414" s="7" t="str">
        <f>"21"</f>
        <v>21</v>
      </c>
      <c r="H414" s="7" t="s">
        <v>13</v>
      </c>
      <c r="I414" s="7" t="s">
        <v>14</v>
      </c>
      <c r="J414" s="9"/>
    </row>
    <row r="415" ht="14.25" spans="1:10">
      <c r="A415" s="7" t="s">
        <v>404</v>
      </c>
      <c r="B415" s="7" t="s">
        <v>430</v>
      </c>
      <c r="C415" s="7" t="str">
        <f t="shared" si="19"/>
        <v>男</v>
      </c>
      <c r="D415" s="7" t="str">
        <f>"41132419980818091X"</f>
        <v>41132419980818091X</v>
      </c>
      <c r="E415" s="8" t="str">
        <f>"10960061422"</f>
        <v>10960061422</v>
      </c>
      <c r="F415" s="7" t="str">
        <f t="shared" si="20"/>
        <v>14</v>
      </c>
      <c r="G415" s="7" t="str">
        <f>"22"</f>
        <v>22</v>
      </c>
      <c r="H415" s="7" t="s">
        <v>13</v>
      </c>
      <c r="I415" s="7">
        <v>43.5</v>
      </c>
      <c r="J415" s="9"/>
    </row>
    <row r="416" ht="14.25" spans="1:10">
      <c r="A416" s="7" t="s">
        <v>404</v>
      </c>
      <c r="B416" s="7" t="s">
        <v>431</v>
      </c>
      <c r="C416" s="7" t="str">
        <f t="shared" si="19"/>
        <v>男</v>
      </c>
      <c r="D416" s="7" t="str">
        <f>"411325199701180019"</f>
        <v>411325199701180019</v>
      </c>
      <c r="E416" s="8" t="str">
        <f>"10960061423"</f>
        <v>10960061423</v>
      </c>
      <c r="F416" s="7" t="str">
        <f t="shared" si="20"/>
        <v>14</v>
      </c>
      <c r="G416" s="7" t="str">
        <f>"23"</f>
        <v>23</v>
      </c>
      <c r="H416" s="7" t="s">
        <v>13</v>
      </c>
      <c r="I416" s="7">
        <v>65.4</v>
      </c>
      <c r="J416" s="9"/>
    </row>
    <row r="417" ht="14.25" spans="1:10">
      <c r="A417" s="7" t="s">
        <v>404</v>
      </c>
      <c r="B417" s="7" t="s">
        <v>432</v>
      </c>
      <c r="C417" s="7" t="str">
        <f t="shared" si="19"/>
        <v>男</v>
      </c>
      <c r="D417" s="7" t="str">
        <f>"411323199301210052"</f>
        <v>411323199301210052</v>
      </c>
      <c r="E417" s="8" t="str">
        <f>"10960061424"</f>
        <v>10960061424</v>
      </c>
      <c r="F417" s="7" t="str">
        <f t="shared" si="20"/>
        <v>14</v>
      </c>
      <c r="G417" s="7" t="str">
        <f>"24"</f>
        <v>24</v>
      </c>
      <c r="H417" s="7" t="s">
        <v>13</v>
      </c>
      <c r="I417" s="7" t="s">
        <v>14</v>
      </c>
      <c r="J417" s="9"/>
    </row>
    <row r="418" ht="14.25" spans="1:10">
      <c r="A418" s="7" t="s">
        <v>404</v>
      </c>
      <c r="B418" s="7" t="s">
        <v>433</v>
      </c>
      <c r="C418" s="7" t="str">
        <f t="shared" si="19"/>
        <v>男</v>
      </c>
      <c r="D418" s="7" t="str">
        <f>"41132119901212151X"</f>
        <v>41132119901212151X</v>
      </c>
      <c r="E418" s="8" t="str">
        <f>"10960061425"</f>
        <v>10960061425</v>
      </c>
      <c r="F418" s="7" t="str">
        <f t="shared" si="20"/>
        <v>14</v>
      </c>
      <c r="G418" s="7" t="str">
        <f>"25"</f>
        <v>25</v>
      </c>
      <c r="H418" s="7" t="s">
        <v>13</v>
      </c>
      <c r="I418" s="7">
        <v>65.1</v>
      </c>
      <c r="J418" s="9"/>
    </row>
    <row r="419" ht="14.25" spans="1:10">
      <c r="A419" s="7" t="s">
        <v>404</v>
      </c>
      <c r="B419" s="7" t="s">
        <v>434</v>
      </c>
      <c r="C419" s="7" t="str">
        <f t="shared" si="19"/>
        <v>男</v>
      </c>
      <c r="D419" s="7" t="str">
        <f>"411322199312012418"</f>
        <v>411322199312012418</v>
      </c>
      <c r="E419" s="8" t="str">
        <f>"10960061426"</f>
        <v>10960061426</v>
      </c>
      <c r="F419" s="7" t="str">
        <f t="shared" si="20"/>
        <v>14</v>
      </c>
      <c r="G419" s="7" t="str">
        <f>"26"</f>
        <v>26</v>
      </c>
      <c r="H419" s="7" t="s">
        <v>13</v>
      </c>
      <c r="I419" s="7">
        <v>68.8</v>
      </c>
      <c r="J419" s="9"/>
    </row>
    <row r="420" ht="14.25" spans="1:10">
      <c r="A420" s="7" t="s">
        <v>404</v>
      </c>
      <c r="B420" s="7" t="s">
        <v>435</v>
      </c>
      <c r="C420" s="7" t="str">
        <f t="shared" si="19"/>
        <v>男</v>
      </c>
      <c r="D420" s="7" t="str">
        <f>"411323199005131413"</f>
        <v>411323199005131413</v>
      </c>
      <c r="E420" s="8" t="str">
        <f>"10960061427"</f>
        <v>10960061427</v>
      </c>
      <c r="F420" s="7" t="str">
        <f t="shared" si="20"/>
        <v>14</v>
      </c>
      <c r="G420" s="7" t="str">
        <f>"27"</f>
        <v>27</v>
      </c>
      <c r="H420" s="7" t="s">
        <v>13</v>
      </c>
      <c r="I420" s="7" t="s">
        <v>14</v>
      </c>
      <c r="J420" s="9"/>
    </row>
    <row r="421" ht="14.25" spans="1:10">
      <c r="A421" s="7" t="s">
        <v>404</v>
      </c>
      <c r="B421" s="7" t="s">
        <v>436</v>
      </c>
      <c r="C421" s="7" t="str">
        <f t="shared" si="19"/>
        <v>男</v>
      </c>
      <c r="D421" s="7" t="str">
        <f>"411325199001139015"</f>
        <v>411325199001139015</v>
      </c>
      <c r="E421" s="8" t="str">
        <f>"10960061428"</f>
        <v>10960061428</v>
      </c>
      <c r="F421" s="7" t="str">
        <f t="shared" si="20"/>
        <v>14</v>
      </c>
      <c r="G421" s="7" t="str">
        <f>"28"</f>
        <v>28</v>
      </c>
      <c r="H421" s="7" t="s">
        <v>13</v>
      </c>
      <c r="I421" s="7" t="s">
        <v>14</v>
      </c>
      <c r="J421" s="9"/>
    </row>
    <row r="422" ht="14.25" spans="1:10">
      <c r="A422" s="7" t="s">
        <v>404</v>
      </c>
      <c r="B422" s="7" t="s">
        <v>437</v>
      </c>
      <c r="C422" s="7" t="str">
        <f t="shared" si="19"/>
        <v>男</v>
      </c>
      <c r="D422" s="7" t="str">
        <f>"411381199209084210"</f>
        <v>411381199209084210</v>
      </c>
      <c r="E422" s="8" t="str">
        <f>"10960061429"</f>
        <v>10960061429</v>
      </c>
      <c r="F422" s="7" t="str">
        <f t="shared" si="20"/>
        <v>14</v>
      </c>
      <c r="G422" s="7" t="str">
        <f>"29"</f>
        <v>29</v>
      </c>
      <c r="H422" s="7" t="s">
        <v>13</v>
      </c>
      <c r="I422" s="7">
        <v>65.9</v>
      </c>
      <c r="J422" s="9"/>
    </row>
    <row r="423" ht="14.25" spans="1:10">
      <c r="A423" s="7" t="s">
        <v>404</v>
      </c>
      <c r="B423" s="7" t="s">
        <v>438</v>
      </c>
      <c r="C423" s="7" t="str">
        <f t="shared" si="19"/>
        <v>女</v>
      </c>
      <c r="D423" s="7" t="str">
        <f>"411325199003022929"</f>
        <v>411325199003022929</v>
      </c>
      <c r="E423" s="8" t="str">
        <f>"10960061430"</f>
        <v>10960061430</v>
      </c>
      <c r="F423" s="7" t="str">
        <f t="shared" si="20"/>
        <v>14</v>
      </c>
      <c r="G423" s="7" t="str">
        <f>"30"</f>
        <v>30</v>
      </c>
      <c r="H423" s="7" t="s">
        <v>13</v>
      </c>
      <c r="I423" s="7">
        <v>63.8</v>
      </c>
      <c r="J423" s="9"/>
    </row>
    <row r="424" ht="14.25" spans="1:10">
      <c r="A424" s="7" t="s">
        <v>404</v>
      </c>
      <c r="B424" s="7" t="s">
        <v>439</v>
      </c>
      <c r="C424" s="7" t="str">
        <f t="shared" si="19"/>
        <v>男</v>
      </c>
      <c r="D424" s="7" t="str">
        <f>"411303199005264819"</f>
        <v>411303199005264819</v>
      </c>
      <c r="E424" s="8" t="str">
        <f>"10960061501"</f>
        <v>10960061501</v>
      </c>
      <c r="F424" s="7" t="str">
        <f t="shared" ref="F424:F453" si="21">"15"</f>
        <v>15</v>
      </c>
      <c r="G424" s="7" t="str">
        <f>"01"</f>
        <v>01</v>
      </c>
      <c r="H424" s="7" t="s">
        <v>13</v>
      </c>
      <c r="I424" s="7" t="s">
        <v>14</v>
      </c>
      <c r="J424" s="9"/>
    </row>
    <row r="425" ht="14.25" spans="1:10">
      <c r="A425" s="7" t="s">
        <v>404</v>
      </c>
      <c r="B425" s="7" t="s">
        <v>440</v>
      </c>
      <c r="C425" s="7" t="str">
        <f t="shared" si="19"/>
        <v>女</v>
      </c>
      <c r="D425" s="7" t="str">
        <f>"411323199301222141"</f>
        <v>411323199301222141</v>
      </c>
      <c r="E425" s="8" t="str">
        <f>"10960061502"</f>
        <v>10960061502</v>
      </c>
      <c r="F425" s="7" t="str">
        <f t="shared" si="21"/>
        <v>15</v>
      </c>
      <c r="G425" s="7" t="str">
        <f>"02"</f>
        <v>02</v>
      </c>
      <c r="H425" s="7" t="s">
        <v>13</v>
      </c>
      <c r="I425" s="7" t="s">
        <v>14</v>
      </c>
      <c r="J425" s="9"/>
    </row>
    <row r="426" ht="14.25" spans="1:10">
      <c r="A426" s="7" t="s">
        <v>404</v>
      </c>
      <c r="B426" s="7" t="s">
        <v>441</v>
      </c>
      <c r="C426" s="7" t="str">
        <f t="shared" si="19"/>
        <v>男</v>
      </c>
      <c r="D426" s="7" t="str">
        <f>"411325199407090418"</f>
        <v>411325199407090418</v>
      </c>
      <c r="E426" s="8" t="str">
        <f>"10960061503"</f>
        <v>10960061503</v>
      </c>
      <c r="F426" s="7" t="str">
        <f t="shared" si="21"/>
        <v>15</v>
      </c>
      <c r="G426" s="7" t="str">
        <f>"03"</f>
        <v>03</v>
      </c>
      <c r="H426" s="7" t="s">
        <v>13</v>
      </c>
      <c r="I426" s="7">
        <v>59.5</v>
      </c>
      <c r="J426" s="9"/>
    </row>
    <row r="427" ht="14.25" spans="1:10">
      <c r="A427" s="7" t="s">
        <v>404</v>
      </c>
      <c r="B427" s="7" t="s">
        <v>442</v>
      </c>
      <c r="C427" s="7" t="str">
        <f t="shared" si="19"/>
        <v>女</v>
      </c>
      <c r="D427" s="7" t="str">
        <f>"41132519970210072X"</f>
        <v>41132519970210072X</v>
      </c>
      <c r="E427" s="8" t="str">
        <f>"10960061504"</f>
        <v>10960061504</v>
      </c>
      <c r="F427" s="7" t="str">
        <f t="shared" si="21"/>
        <v>15</v>
      </c>
      <c r="G427" s="7" t="str">
        <f>"04"</f>
        <v>04</v>
      </c>
      <c r="H427" s="7" t="s">
        <v>13</v>
      </c>
      <c r="I427" s="7" t="s">
        <v>14</v>
      </c>
      <c r="J427" s="9"/>
    </row>
    <row r="428" ht="14.25" spans="1:10">
      <c r="A428" s="7" t="s">
        <v>404</v>
      </c>
      <c r="B428" s="7" t="s">
        <v>443</v>
      </c>
      <c r="C428" s="7" t="str">
        <f t="shared" si="19"/>
        <v>男</v>
      </c>
      <c r="D428" s="7" t="str">
        <f>"411324199708264518"</f>
        <v>411324199708264518</v>
      </c>
      <c r="E428" s="8" t="str">
        <f>"10960061505"</f>
        <v>10960061505</v>
      </c>
      <c r="F428" s="7" t="str">
        <f t="shared" si="21"/>
        <v>15</v>
      </c>
      <c r="G428" s="7" t="str">
        <f>"05"</f>
        <v>05</v>
      </c>
      <c r="H428" s="7" t="s">
        <v>13</v>
      </c>
      <c r="I428" s="7" t="s">
        <v>14</v>
      </c>
      <c r="J428" s="9"/>
    </row>
    <row r="429" s="1" customFormat="1" ht="14.25" spans="1:10">
      <c r="A429" s="7" t="s">
        <v>404</v>
      </c>
      <c r="B429" s="7" t="s">
        <v>444</v>
      </c>
      <c r="C429" s="7" t="str">
        <f t="shared" si="19"/>
        <v>女</v>
      </c>
      <c r="D429" s="7" t="str">
        <f>"41132519960325132X"</f>
        <v>41132519960325132X</v>
      </c>
      <c r="E429" s="8" t="str">
        <f>"10960061506"</f>
        <v>10960061506</v>
      </c>
      <c r="F429" s="7" t="str">
        <f t="shared" si="21"/>
        <v>15</v>
      </c>
      <c r="G429" s="7" t="str">
        <f>"06"</f>
        <v>06</v>
      </c>
      <c r="H429" s="7" t="s">
        <v>13</v>
      </c>
      <c r="I429" s="7">
        <v>64.5</v>
      </c>
      <c r="J429" s="9"/>
    </row>
    <row r="430" ht="14.25" spans="1:10">
      <c r="A430" s="7" t="s">
        <v>404</v>
      </c>
      <c r="B430" s="7" t="s">
        <v>445</v>
      </c>
      <c r="C430" s="7" t="str">
        <f t="shared" si="19"/>
        <v>男</v>
      </c>
      <c r="D430" s="7" t="str">
        <f>"411325199301107672"</f>
        <v>411325199301107672</v>
      </c>
      <c r="E430" s="8" t="str">
        <f>"10960061507"</f>
        <v>10960061507</v>
      </c>
      <c r="F430" s="7" t="str">
        <f t="shared" si="21"/>
        <v>15</v>
      </c>
      <c r="G430" s="7" t="str">
        <f>"07"</f>
        <v>07</v>
      </c>
      <c r="H430" s="7" t="s">
        <v>13</v>
      </c>
      <c r="I430" s="7">
        <v>63.3</v>
      </c>
      <c r="J430" s="9"/>
    </row>
    <row r="431" ht="14.25" spans="1:10">
      <c r="A431" s="7" t="s">
        <v>404</v>
      </c>
      <c r="B431" s="7" t="s">
        <v>446</v>
      </c>
      <c r="C431" s="7" t="str">
        <f t="shared" si="19"/>
        <v>男</v>
      </c>
      <c r="D431" s="7" t="str">
        <f>"411321199707070018"</f>
        <v>411321199707070018</v>
      </c>
      <c r="E431" s="8" t="str">
        <f>"10960061508"</f>
        <v>10960061508</v>
      </c>
      <c r="F431" s="7" t="str">
        <f t="shared" si="21"/>
        <v>15</v>
      </c>
      <c r="G431" s="7" t="str">
        <f>"08"</f>
        <v>08</v>
      </c>
      <c r="H431" s="7" t="s">
        <v>13</v>
      </c>
      <c r="I431" s="7">
        <v>73.8</v>
      </c>
      <c r="J431" s="9"/>
    </row>
    <row r="432" ht="14.25" spans="1:10">
      <c r="A432" s="7" t="s">
        <v>404</v>
      </c>
      <c r="B432" s="7" t="s">
        <v>447</v>
      </c>
      <c r="C432" s="7" t="str">
        <f t="shared" si="19"/>
        <v>男</v>
      </c>
      <c r="D432" s="7" t="str">
        <f>"411321199604161515"</f>
        <v>411321199604161515</v>
      </c>
      <c r="E432" s="8" t="str">
        <f>"10960061509"</f>
        <v>10960061509</v>
      </c>
      <c r="F432" s="7" t="str">
        <f t="shared" si="21"/>
        <v>15</v>
      </c>
      <c r="G432" s="7" t="str">
        <f>"09"</f>
        <v>09</v>
      </c>
      <c r="H432" s="7" t="s">
        <v>13</v>
      </c>
      <c r="I432" s="7" t="s">
        <v>14</v>
      </c>
      <c r="J432" s="9"/>
    </row>
    <row r="433" ht="14.25" spans="1:10">
      <c r="A433" s="7" t="s">
        <v>404</v>
      </c>
      <c r="B433" s="7" t="s">
        <v>448</v>
      </c>
      <c r="C433" s="7" t="str">
        <f t="shared" si="19"/>
        <v>男</v>
      </c>
      <c r="D433" s="7" t="str">
        <f>"411325199610106032"</f>
        <v>411325199610106032</v>
      </c>
      <c r="E433" s="8" t="str">
        <f>"10960061510"</f>
        <v>10960061510</v>
      </c>
      <c r="F433" s="7" t="str">
        <f t="shared" si="21"/>
        <v>15</v>
      </c>
      <c r="G433" s="7" t="str">
        <f>"10"</f>
        <v>10</v>
      </c>
      <c r="H433" s="7" t="s">
        <v>13</v>
      </c>
      <c r="I433" s="7">
        <v>61.6</v>
      </c>
      <c r="J433" s="9"/>
    </row>
    <row r="434" ht="14.25" spans="1:10">
      <c r="A434" s="7" t="s">
        <v>404</v>
      </c>
      <c r="B434" s="7" t="s">
        <v>449</v>
      </c>
      <c r="C434" s="7" t="str">
        <f t="shared" si="19"/>
        <v>女</v>
      </c>
      <c r="D434" s="7" t="str">
        <f>"411325199309054528"</f>
        <v>411325199309054528</v>
      </c>
      <c r="E434" s="8" t="str">
        <f>"10960061511"</f>
        <v>10960061511</v>
      </c>
      <c r="F434" s="7" t="str">
        <f t="shared" si="21"/>
        <v>15</v>
      </c>
      <c r="G434" s="7" t="str">
        <f>"11"</f>
        <v>11</v>
      </c>
      <c r="H434" s="7" t="s">
        <v>13</v>
      </c>
      <c r="I434" s="7" t="s">
        <v>14</v>
      </c>
      <c r="J434" s="9"/>
    </row>
    <row r="435" ht="14.25" spans="1:10">
      <c r="A435" s="7" t="s">
        <v>404</v>
      </c>
      <c r="B435" s="7" t="s">
        <v>450</v>
      </c>
      <c r="C435" s="7" t="str">
        <f t="shared" si="19"/>
        <v>女</v>
      </c>
      <c r="D435" s="7" t="str">
        <f>"411324199710243441"</f>
        <v>411324199710243441</v>
      </c>
      <c r="E435" s="8" t="str">
        <f>"10960061512"</f>
        <v>10960061512</v>
      </c>
      <c r="F435" s="7" t="str">
        <f t="shared" si="21"/>
        <v>15</v>
      </c>
      <c r="G435" s="7" t="str">
        <f>"12"</f>
        <v>12</v>
      </c>
      <c r="H435" s="7" t="s">
        <v>13</v>
      </c>
      <c r="I435" s="7" t="s">
        <v>14</v>
      </c>
      <c r="J435" s="9"/>
    </row>
    <row r="436" ht="14.25" spans="1:10">
      <c r="A436" s="7" t="s">
        <v>404</v>
      </c>
      <c r="B436" s="7" t="s">
        <v>451</v>
      </c>
      <c r="C436" s="7" t="str">
        <f t="shared" si="19"/>
        <v>男</v>
      </c>
      <c r="D436" s="7" t="str">
        <f>"411325199804011314"</f>
        <v>411325199804011314</v>
      </c>
      <c r="E436" s="8" t="str">
        <f>"10960061513"</f>
        <v>10960061513</v>
      </c>
      <c r="F436" s="7" t="str">
        <f t="shared" si="21"/>
        <v>15</v>
      </c>
      <c r="G436" s="7" t="str">
        <f>"13"</f>
        <v>13</v>
      </c>
      <c r="H436" s="7" t="s">
        <v>13</v>
      </c>
      <c r="I436" s="7" t="s">
        <v>14</v>
      </c>
      <c r="J436" s="9"/>
    </row>
    <row r="437" ht="14.25" spans="1:10">
      <c r="A437" s="7" t="s">
        <v>404</v>
      </c>
      <c r="B437" s="7" t="s">
        <v>452</v>
      </c>
      <c r="C437" s="7" t="str">
        <f t="shared" si="19"/>
        <v>男</v>
      </c>
      <c r="D437" s="7" t="str">
        <f>"411325199405140733"</f>
        <v>411325199405140733</v>
      </c>
      <c r="E437" s="8" t="str">
        <f>"10960061514"</f>
        <v>10960061514</v>
      </c>
      <c r="F437" s="7" t="str">
        <f t="shared" si="21"/>
        <v>15</v>
      </c>
      <c r="G437" s="7" t="str">
        <f>"14"</f>
        <v>14</v>
      </c>
      <c r="H437" s="7" t="s">
        <v>13</v>
      </c>
      <c r="I437" s="7" t="s">
        <v>14</v>
      </c>
      <c r="J437" s="9"/>
    </row>
    <row r="438" ht="14.25" spans="1:10">
      <c r="A438" s="7" t="s">
        <v>404</v>
      </c>
      <c r="B438" s="7" t="s">
        <v>453</v>
      </c>
      <c r="C438" s="7" t="str">
        <f t="shared" si="19"/>
        <v>男</v>
      </c>
      <c r="D438" s="7" t="str">
        <f>"411328199405050032"</f>
        <v>411328199405050032</v>
      </c>
      <c r="E438" s="8" t="str">
        <f>"10960061515"</f>
        <v>10960061515</v>
      </c>
      <c r="F438" s="7" t="str">
        <f t="shared" si="21"/>
        <v>15</v>
      </c>
      <c r="G438" s="7" t="str">
        <f>"15"</f>
        <v>15</v>
      </c>
      <c r="H438" s="7" t="s">
        <v>13</v>
      </c>
      <c r="I438" s="7" t="s">
        <v>14</v>
      </c>
      <c r="J438" s="9"/>
    </row>
    <row r="439" ht="14.25" spans="1:10">
      <c r="A439" s="7" t="s">
        <v>404</v>
      </c>
      <c r="B439" s="7" t="s">
        <v>454</v>
      </c>
      <c r="C439" s="7" t="str">
        <f t="shared" si="19"/>
        <v>男</v>
      </c>
      <c r="D439" s="7" t="str">
        <f>"411303199107280019"</f>
        <v>411303199107280019</v>
      </c>
      <c r="E439" s="8" t="str">
        <f>"10960061516"</f>
        <v>10960061516</v>
      </c>
      <c r="F439" s="7" t="str">
        <f t="shared" si="21"/>
        <v>15</v>
      </c>
      <c r="G439" s="7" t="str">
        <f>"16"</f>
        <v>16</v>
      </c>
      <c r="H439" s="7" t="s">
        <v>13</v>
      </c>
      <c r="I439" s="7" t="s">
        <v>14</v>
      </c>
      <c r="J439" s="9"/>
    </row>
    <row r="440" ht="14.25" spans="1:10">
      <c r="A440" s="7" t="s">
        <v>404</v>
      </c>
      <c r="B440" s="7" t="s">
        <v>455</v>
      </c>
      <c r="C440" s="7" t="str">
        <f t="shared" si="19"/>
        <v>男</v>
      </c>
      <c r="D440" s="7" t="str">
        <f>"411302199306220813"</f>
        <v>411302199306220813</v>
      </c>
      <c r="E440" s="8" t="str">
        <f>"10960061517"</f>
        <v>10960061517</v>
      </c>
      <c r="F440" s="7" t="str">
        <f t="shared" si="21"/>
        <v>15</v>
      </c>
      <c r="G440" s="7" t="str">
        <f>"17"</f>
        <v>17</v>
      </c>
      <c r="H440" s="7" t="s">
        <v>13</v>
      </c>
      <c r="I440" s="7">
        <v>59</v>
      </c>
      <c r="J440" s="9"/>
    </row>
    <row r="441" ht="14.25" spans="1:10">
      <c r="A441" s="7" t="s">
        <v>404</v>
      </c>
      <c r="B441" s="7" t="s">
        <v>456</v>
      </c>
      <c r="C441" s="7" t="str">
        <f t="shared" si="19"/>
        <v>男</v>
      </c>
      <c r="D441" s="7" t="str">
        <f>"411325199301261311"</f>
        <v>411325199301261311</v>
      </c>
      <c r="E441" s="8" t="str">
        <f>"10960061518"</f>
        <v>10960061518</v>
      </c>
      <c r="F441" s="7" t="str">
        <f t="shared" si="21"/>
        <v>15</v>
      </c>
      <c r="G441" s="7" t="str">
        <f>"18"</f>
        <v>18</v>
      </c>
      <c r="H441" s="7" t="s">
        <v>13</v>
      </c>
      <c r="I441" s="7">
        <v>55.2</v>
      </c>
      <c r="J441" s="9"/>
    </row>
    <row r="442" ht="14.25" spans="1:10">
      <c r="A442" s="7" t="s">
        <v>404</v>
      </c>
      <c r="B442" s="7" t="s">
        <v>457</v>
      </c>
      <c r="C442" s="7" t="str">
        <f t="shared" si="19"/>
        <v>女</v>
      </c>
      <c r="D442" s="7" t="str">
        <f>"411327199801190022"</f>
        <v>411327199801190022</v>
      </c>
      <c r="E442" s="8" t="str">
        <f>"10960061519"</f>
        <v>10960061519</v>
      </c>
      <c r="F442" s="7" t="str">
        <f t="shared" si="21"/>
        <v>15</v>
      </c>
      <c r="G442" s="7" t="str">
        <f>"19"</f>
        <v>19</v>
      </c>
      <c r="H442" s="7" t="s">
        <v>45</v>
      </c>
      <c r="I442" s="7">
        <v>66.5</v>
      </c>
      <c r="J442" s="9"/>
    </row>
    <row r="443" ht="14.25" spans="1:10">
      <c r="A443" s="7" t="s">
        <v>404</v>
      </c>
      <c r="B443" s="7" t="s">
        <v>458</v>
      </c>
      <c r="C443" s="7" t="str">
        <f t="shared" si="19"/>
        <v>男</v>
      </c>
      <c r="D443" s="7" t="str">
        <f>"41132119960922321X"</f>
        <v>41132119960922321X</v>
      </c>
      <c r="E443" s="8" t="str">
        <f>"10960061520"</f>
        <v>10960061520</v>
      </c>
      <c r="F443" s="7" t="str">
        <f t="shared" si="21"/>
        <v>15</v>
      </c>
      <c r="G443" s="7" t="str">
        <f>"20"</f>
        <v>20</v>
      </c>
      <c r="H443" s="7" t="s">
        <v>45</v>
      </c>
      <c r="I443" s="7" t="s">
        <v>14</v>
      </c>
      <c r="J443" s="9"/>
    </row>
    <row r="444" ht="14.25" spans="1:10">
      <c r="A444" s="7" t="s">
        <v>404</v>
      </c>
      <c r="B444" s="7" t="s">
        <v>459</v>
      </c>
      <c r="C444" s="7" t="str">
        <f t="shared" si="19"/>
        <v>女</v>
      </c>
      <c r="D444" s="7" t="str">
        <f>"411302199801294529"</f>
        <v>411302199801294529</v>
      </c>
      <c r="E444" s="8" t="str">
        <f>"10960061521"</f>
        <v>10960061521</v>
      </c>
      <c r="F444" s="7" t="str">
        <f t="shared" si="21"/>
        <v>15</v>
      </c>
      <c r="G444" s="7" t="str">
        <f>"21"</f>
        <v>21</v>
      </c>
      <c r="H444" s="7" t="s">
        <v>45</v>
      </c>
      <c r="I444" s="7">
        <v>62.2</v>
      </c>
      <c r="J444" s="9"/>
    </row>
    <row r="445" ht="14.25" spans="1:10">
      <c r="A445" s="7" t="s">
        <v>404</v>
      </c>
      <c r="B445" s="7" t="s">
        <v>460</v>
      </c>
      <c r="C445" s="7" t="str">
        <f t="shared" si="19"/>
        <v>男</v>
      </c>
      <c r="D445" s="7" t="str">
        <f>"411325199806189431"</f>
        <v>411325199806189431</v>
      </c>
      <c r="E445" s="8" t="str">
        <f>"10960061522"</f>
        <v>10960061522</v>
      </c>
      <c r="F445" s="7" t="str">
        <f t="shared" si="21"/>
        <v>15</v>
      </c>
      <c r="G445" s="7" t="str">
        <f>"22"</f>
        <v>22</v>
      </c>
      <c r="H445" s="7" t="s">
        <v>45</v>
      </c>
      <c r="I445" s="7">
        <v>62</v>
      </c>
      <c r="J445" s="9"/>
    </row>
    <row r="446" ht="14.25" spans="1:10">
      <c r="A446" s="7" t="s">
        <v>404</v>
      </c>
      <c r="B446" s="7" t="s">
        <v>461</v>
      </c>
      <c r="C446" s="7" t="str">
        <f t="shared" si="19"/>
        <v>男</v>
      </c>
      <c r="D446" s="7" t="str">
        <f>"412701199803281517"</f>
        <v>412701199803281517</v>
      </c>
      <c r="E446" s="8" t="str">
        <f>"10960061523"</f>
        <v>10960061523</v>
      </c>
      <c r="F446" s="7" t="str">
        <f t="shared" si="21"/>
        <v>15</v>
      </c>
      <c r="G446" s="7" t="str">
        <f>"23"</f>
        <v>23</v>
      </c>
      <c r="H446" s="7" t="s">
        <v>45</v>
      </c>
      <c r="I446" s="7" t="s">
        <v>14</v>
      </c>
      <c r="J446" s="9"/>
    </row>
    <row r="447" ht="14.25" spans="1:10">
      <c r="A447" s="7" t="s">
        <v>404</v>
      </c>
      <c r="B447" s="7" t="s">
        <v>462</v>
      </c>
      <c r="C447" s="7" t="str">
        <f t="shared" si="19"/>
        <v>男</v>
      </c>
      <c r="D447" s="7" t="str">
        <f>"411302199005180010"</f>
        <v>411302199005180010</v>
      </c>
      <c r="E447" s="8" t="str">
        <f>"10960061524"</f>
        <v>10960061524</v>
      </c>
      <c r="F447" s="7" t="str">
        <f t="shared" si="21"/>
        <v>15</v>
      </c>
      <c r="G447" s="7" t="str">
        <f>"24"</f>
        <v>24</v>
      </c>
      <c r="H447" s="7" t="s">
        <v>45</v>
      </c>
      <c r="I447" s="7">
        <v>65.2</v>
      </c>
      <c r="J447" s="9"/>
    </row>
    <row r="448" ht="14.25" spans="1:10">
      <c r="A448" s="7" t="s">
        <v>404</v>
      </c>
      <c r="B448" s="7" t="s">
        <v>463</v>
      </c>
      <c r="C448" s="7" t="str">
        <f t="shared" si="19"/>
        <v>女</v>
      </c>
      <c r="D448" s="7" t="str">
        <f>"411303199505110525"</f>
        <v>411303199505110525</v>
      </c>
      <c r="E448" s="8" t="str">
        <f>"10960061525"</f>
        <v>10960061525</v>
      </c>
      <c r="F448" s="7" t="str">
        <f t="shared" si="21"/>
        <v>15</v>
      </c>
      <c r="G448" s="7" t="str">
        <f>"25"</f>
        <v>25</v>
      </c>
      <c r="H448" s="7" t="s">
        <v>45</v>
      </c>
      <c r="I448" s="7" t="s">
        <v>14</v>
      </c>
      <c r="J448" s="9"/>
    </row>
    <row r="449" ht="14.25" spans="1:10">
      <c r="A449" s="7" t="s">
        <v>404</v>
      </c>
      <c r="B449" s="7" t="s">
        <v>464</v>
      </c>
      <c r="C449" s="7" t="str">
        <f t="shared" si="19"/>
        <v>男</v>
      </c>
      <c r="D449" s="7" t="str">
        <f>"41132919940526001X"</f>
        <v>41132919940526001X</v>
      </c>
      <c r="E449" s="8" t="str">
        <f>"10960061526"</f>
        <v>10960061526</v>
      </c>
      <c r="F449" s="7" t="str">
        <f t="shared" si="21"/>
        <v>15</v>
      </c>
      <c r="G449" s="7" t="str">
        <f>"26"</f>
        <v>26</v>
      </c>
      <c r="H449" s="7" t="s">
        <v>45</v>
      </c>
      <c r="I449" s="7" t="s">
        <v>14</v>
      </c>
      <c r="J449" s="9"/>
    </row>
    <row r="450" ht="14.25" spans="1:10">
      <c r="A450" s="7" t="s">
        <v>404</v>
      </c>
      <c r="B450" s="7" t="s">
        <v>465</v>
      </c>
      <c r="C450" s="7" t="str">
        <f t="shared" si="19"/>
        <v>男</v>
      </c>
      <c r="D450" s="7" t="str">
        <f>"411303199608220057"</f>
        <v>411303199608220057</v>
      </c>
      <c r="E450" s="8" t="str">
        <f>"10960061527"</f>
        <v>10960061527</v>
      </c>
      <c r="F450" s="7" t="str">
        <f t="shared" si="21"/>
        <v>15</v>
      </c>
      <c r="G450" s="7" t="str">
        <f>"27"</f>
        <v>27</v>
      </c>
      <c r="H450" s="7" t="s">
        <v>45</v>
      </c>
      <c r="I450" s="7">
        <v>60.1</v>
      </c>
      <c r="J450" s="9"/>
    </row>
    <row r="451" ht="14.25" spans="1:10">
      <c r="A451" s="7" t="s">
        <v>404</v>
      </c>
      <c r="B451" s="7" t="s">
        <v>466</v>
      </c>
      <c r="C451" s="7" t="str">
        <f t="shared" si="19"/>
        <v>男</v>
      </c>
      <c r="D451" s="7" t="str">
        <f>"411325199011160432"</f>
        <v>411325199011160432</v>
      </c>
      <c r="E451" s="8" t="str">
        <f>"10960061528"</f>
        <v>10960061528</v>
      </c>
      <c r="F451" s="7" t="str">
        <f t="shared" si="21"/>
        <v>15</v>
      </c>
      <c r="G451" s="7" t="str">
        <f>"28"</f>
        <v>28</v>
      </c>
      <c r="H451" s="7" t="s">
        <v>45</v>
      </c>
      <c r="I451" s="7">
        <v>56</v>
      </c>
      <c r="J451" s="9"/>
    </row>
    <row r="452" ht="14.25" spans="1:10">
      <c r="A452" s="7" t="s">
        <v>404</v>
      </c>
      <c r="B452" s="7" t="s">
        <v>467</v>
      </c>
      <c r="C452" s="7" t="str">
        <f t="shared" ref="C452:C515" si="22">IF(MOD(MID(D452,17,1),2),"男","女")</f>
        <v>男</v>
      </c>
      <c r="D452" s="7" t="str">
        <f>"411303199202115994"</f>
        <v>411303199202115994</v>
      </c>
      <c r="E452" s="8" t="str">
        <f>"10960061529"</f>
        <v>10960061529</v>
      </c>
      <c r="F452" s="7" t="str">
        <f t="shared" si="21"/>
        <v>15</v>
      </c>
      <c r="G452" s="7" t="str">
        <f>"29"</f>
        <v>29</v>
      </c>
      <c r="H452" s="7" t="s">
        <v>45</v>
      </c>
      <c r="I452" s="7" t="s">
        <v>14</v>
      </c>
      <c r="J452" s="9"/>
    </row>
    <row r="453" ht="14.25" spans="1:10">
      <c r="A453" s="7" t="s">
        <v>404</v>
      </c>
      <c r="B453" s="7" t="s">
        <v>468</v>
      </c>
      <c r="C453" s="7" t="str">
        <f t="shared" si="22"/>
        <v>女</v>
      </c>
      <c r="D453" s="7" t="str">
        <f>"411328199810010069"</f>
        <v>411328199810010069</v>
      </c>
      <c r="E453" s="8" t="str">
        <f>"10960061530"</f>
        <v>10960061530</v>
      </c>
      <c r="F453" s="7" t="str">
        <f t="shared" si="21"/>
        <v>15</v>
      </c>
      <c r="G453" s="7" t="str">
        <f>"30"</f>
        <v>30</v>
      </c>
      <c r="H453" s="7" t="s">
        <v>45</v>
      </c>
      <c r="I453" s="7">
        <v>58.8</v>
      </c>
      <c r="J453" s="9"/>
    </row>
    <row r="454" ht="14.25" spans="1:10">
      <c r="A454" s="7" t="s">
        <v>404</v>
      </c>
      <c r="B454" s="7" t="s">
        <v>469</v>
      </c>
      <c r="C454" s="7" t="str">
        <f t="shared" si="22"/>
        <v>男</v>
      </c>
      <c r="D454" s="7" t="str">
        <f>"411323199508052637"</f>
        <v>411323199508052637</v>
      </c>
      <c r="E454" s="8" t="str">
        <f>"10960061601"</f>
        <v>10960061601</v>
      </c>
      <c r="F454" s="7" t="str">
        <f t="shared" ref="F454:F483" si="23">"16"</f>
        <v>16</v>
      </c>
      <c r="G454" s="7" t="str">
        <f>"01"</f>
        <v>01</v>
      </c>
      <c r="H454" s="7" t="s">
        <v>45</v>
      </c>
      <c r="I454" s="7" t="s">
        <v>14</v>
      </c>
      <c r="J454" s="9"/>
    </row>
    <row r="455" ht="14.25" spans="1:10">
      <c r="A455" s="7" t="s">
        <v>404</v>
      </c>
      <c r="B455" s="7" t="s">
        <v>470</v>
      </c>
      <c r="C455" s="7" t="str">
        <f t="shared" si="22"/>
        <v>男</v>
      </c>
      <c r="D455" s="7" t="str">
        <f>"411303199408140036"</f>
        <v>411303199408140036</v>
      </c>
      <c r="E455" s="8" t="str">
        <f>"10960061602"</f>
        <v>10960061602</v>
      </c>
      <c r="F455" s="7" t="str">
        <f t="shared" si="23"/>
        <v>16</v>
      </c>
      <c r="G455" s="7" t="str">
        <f>"02"</f>
        <v>02</v>
      </c>
      <c r="H455" s="7" t="s">
        <v>45</v>
      </c>
      <c r="I455" s="7">
        <v>61.8</v>
      </c>
      <c r="J455" s="9"/>
    </row>
    <row r="456" ht="14.25" spans="1:10">
      <c r="A456" s="7" t="s">
        <v>404</v>
      </c>
      <c r="B456" s="7" t="s">
        <v>471</v>
      </c>
      <c r="C456" s="7" t="str">
        <f t="shared" si="22"/>
        <v>女</v>
      </c>
      <c r="D456" s="7" t="str">
        <f>"411328199408170021"</f>
        <v>411328199408170021</v>
      </c>
      <c r="E456" s="8" t="str">
        <f>"10960061603"</f>
        <v>10960061603</v>
      </c>
      <c r="F456" s="7" t="str">
        <f t="shared" si="23"/>
        <v>16</v>
      </c>
      <c r="G456" s="7" t="str">
        <f>"03"</f>
        <v>03</v>
      </c>
      <c r="H456" s="7" t="s">
        <v>45</v>
      </c>
      <c r="I456" s="7" t="s">
        <v>14</v>
      </c>
      <c r="J456" s="9"/>
    </row>
    <row r="457" ht="14.25" spans="1:10">
      <c r="A457" s="7" t="s">
        <v>404</v>
      </c>
      <c r="B457" s="7" t="s">
        <v>472</v>
      </c>
      <c r="C457" s="7" t="str">
        <f t="shared" si="22"/>
        <v>男</v>
      </c>
      <c r="D457" s="7" t="str">
        <f>"411302199512230510"</f>
        <v>411302199512230510</v>
      </c>
      <c r="E457" s="8" t="str">
        <f>"10960061604"</f>
        <v>10960061604</v>
      </c>
      <c r="F457" s="7" t="str">
        <f t="shared" si="23"/>
        <v>16</v>
      </c>
      <c r="G457" s="7" t="str">
        <f>"04"</f>
        <v>04</v>
      </c>
      <c r="H457" s="7" t="s">
        <v>45</v>
      </c>
      <c r="I457" s="7">
        <v>65.1</v>
      </c>
      <c r="J457" s="9"/>
    </row>
    <row r="458" ht="14.25" spans="1:10">
      <c r="A458" s="7" t="s">
        <v>404</v>
      </c>
      <c r="B458" s="7" t="s">
        <v>473</v>
      </c>
      <c r="C458" s="7" t="str">
        <f t="shared" si="22"/>
        <v>男</v>
      </c>
      <c r="D458" s="7" t="str">
        <f>"411328199706056059"</f>
        <v>411328199706056059</v>
      </c>
      <c r="E458" s="8" t="str">
        <f>"10960061605"</f>
        <v>10960061605</v>
      </c>
      <c r="F458" s="7" t="str">
        <f t="shared" si="23"/>
        <v>16</v>
      </c>
      <c r="G458" s="7" t="str">
        <f>"05"</f>
        <v>05</v>
      </c>
      <c r="H458" s="7" t="s">
        <v>45</v>
      </c>
      <c r="I458" s="7" t="s">
        <v>14</v>
      </c>
      <c r="J458" s="9"/>
    </row>
    <row r="459" ht="14.25" spans="1:10">
      <c r="A459" s="7" t="s">
        <v>404</v>
      </c>
      <c r="B459" s="7" t="s">
        <v>474</v>
      </c>
      <c r="C459" s="7" t="str">
        <f t="shared" si="22"/>
        <v>男</v>
      </c>
      <c r="D459" s="7" t="str">
        <f>"411381199102200410"</f>
        <v>411381199102200410</v>
      </c>
      <c r="E459" s="8" t="str">
        <f>"10960061606"</f>
        <v>10960061606</v>
      </c>
      <c r="F459" s="7" t="str">
        <f t="shared" si="23"/>
        <v>16</v>
      </c>
      <c r="G459" s="7" t="str">
        <f>"06"</f>
        <v>06</v>
      </c>
      <c r="H459" s="7" t="s">
        <v>45</v>
      </c>
      <c r="I459" s="7">
        <v>59.9</v>
      </c>
      <c r="J459" s="9"/>
    </row>
    <row r="460" ht="14.25" spans="1:10">
      <c r="A460" s="7" t="s">
        <v>404</v>
      </c>
      <c r="B460" s="7" t="s">
        <v>475</v>
      </c>
      <c r="C460" s="7" t="str">
        <f t="shared" si="22"/>
        <v>女</v>
      </c>
      <c r="D460" s="7" t="str">
        <f>"411328199707196168"</f>
        <v>411328199707196168</v>
      </c>
      <c r="E460" s="8" t="str">
        <f>"10960061607"</f>
        <v>10960061607</v>
      </c>
      <c r="F460" s="7" t="str">
        <f t="shared" si="23"/>
        <v>16</v>
      </c>
      <c r="G460" s="7" t="str">
        <f>"07"</f>
        <v>07</v>
      </c>
      <c r="H460" s="7" t="s">
        <v>45</v>
      </c>
      <c r="I460" s="7" t="s">
        <v>14</v>
      </c>
      <c r="J460" s="9"/>
    </row>
    <row r="461" ht="14.25" spans="1:10">
      <c r="A461" s="7" t="s">
        <v>404</v>
      </c>
      <c r="B461" s="7" t="s">
        <v>476</v>
      </c>
      <c r="C461" s="7" t="str">
        <f t="shared" si="22"/>
        <v>男</v>
      </c>
      <c r="D461" s="7" t="str">
        <f>"372925199305185134"</f>
        <v>372925199305185134</v>
      </c>
      <c r="E461" s="8" t="str">
        <f>"10960061608"</f>
        <v>10960061608</v>
      </c>
      <c r="F461" s="7" t="str">
        <f t="shared" si="23"/>
        <v>16</v>
      </c>
      <c r="G461" s="7" t="str">
        <f>"08"</f>
        <v>08</v>
      </c>
      <c r="H461" s="7" t="s">
        <v>45</v>
      </c>
      <c r="I461" s="7" t="s">
        <v>14</v>
      </c>
      <c r="J461" s="9"/>
    </row>
    <row r="462" ht="14.25" spans="1:10">
      <c r="A462" s="7" t="s">
        <v>404</v>
      </c>
      <c r="B462" s="7" t="s">
        <v>477</v>
      </c>
      <c r="C462" s="7" t="str">
        <f t="shared" si="22"/>
        <v>男</v>
      </c>
      <c r="D462" s="7" t="str">
        <f>"411321199702101313"</f>
        <v>411321199702101313</v>
      </c>
      <c r="E462" s="8" t="str">
        <f>"10960061609"</f>
        <v>10960061609</v>
      </c>
      <c r="F462" s="7" t="str">
        <f t="shared" si="23"/>
        <v>16</v>
      </c>
      <c r="G462" s="7" t="str">
        <f>"09"</f>
        <v>09</v>
      </c>
      <c r="H462" s="7" t="s">
        <v>45</v>
      </c>
      <c r="I462" s="7" t="s">
        <v>14</v>
      </c>
      <c r="J462" s="9"/>
    </row>
    <row r="463" ht="14.25" spans="1:10">
      <c r="A463" s="7" t="s">
        <v>404</v>
      </c>
      <c r="B463" s="7" t="s">
        <v>478</v>
      </c>
      <c r="C463" s="7" t="str">
        <f t="shared" si="22"/>
        <v>男</v>
      </c>
      <c r="D463" s="7" t="str">
        <f>"411381199112270033"</f>
        <v>411381199112270033</v>
      </c>
      <c r="E463" s="8" t="str">
        <f>"10960061610"</f>
        <v>10960061610</v>
      </c>
      <c r="F463" s="7" t="str">
        <f t="shared" si="23"/>
        <v>16</v>
      </c>
      <c r="G463" s="7" t="str">
        <f>"10"</f>
        <v>10</v>
      </c>
      <c r="H463" s="7" t="s">
        <v>45</v>
      </c>
      <c r="I463" s="7" t="s">
        <v>14</v>
      </c>
      <c r="J463" s="9"/>
    </row>
    <row r="464" ht="14.25" spans="1:10">
      <c r="A464" s="7" t="s">
        <v>404</v>
      </c>
      <c r="B464" s="7" t="s">
        <v>479</v>
      </c>
      <c r="C464" s="7" t="str">
        <f t="shared" si="22"/>
        <v>男</v>
      </c>
      <c r="D464" s="7" t="str">
        <f>"411527199301060011"</f>
        <v>411527199301060011</v>
      </c>
      <c r="E464" s="8" t="str">
        <f>"10960061611"</f>
        <v>10960061611</v>
      </c>
      <c r="F464" s="7" t="str">
        <f t="shared" si="23"/>
        <v>16</v>
      </c>
      <c r="G464" s="7" t="str">
        <f>"11"</f>
        <v>11</v>
      </c>
      <c r="H464" s="7" t="s">
        <v>45</v>
      </c>
      <c r="I464" s="7" t="s">
        <v>14</v>
      </c>
      <c r="J464" s="9"/>
    </row>
    <row r="465" ht="14.25" spans="1:10">
      <c r="A465" s="7" t="s">
        <v>404</v>
      </c>
      <c r="B465" s="7" t="s">
        <v>480</v>
      </c>
      <c r="C465" s="7" t="str">
        <f t="shared" si="22"/>
        <v>男</v>
      </c>
      <c r="D465" s="7" t="str">
        <f>"411303199801126759"</f>
        <v>411303199801126759</v>
      </c>
      <c r="E465" s="8" t="str">
        <f>"10960061612"</f>
        <v>10960061612</v>
      </c>
      <c r="F465" s="7" t="str">
        <f t="shared" si="23"/>
        <v>16</v>
      </c>
      <c r="G465" s="7" t="str">
        <f>"12"</f>
        <v>12</v>
      </c>
      <c r="H465" s="7" t="s">
        <v>45</v>
      </c>
      <c r="I465" s="7">
        <v>71.4</v>
      </c>
      <c r="J465" s="9"/>
    </row>
    <row r="466" ht="14.25" spans="1:10">
      <c r="A466" s="7" t="s">
        <v>404</v>
      </c>
      <c r="B466" s="7" t="s">
        <v>481</v>
      </c>
      <c r="C466" s="7" t="str">
        <f t="shared" si="22"/>
        <v>男</v>
      </c>
      <c r="D466" s="7" t="str">
        <f>"411302199207053116"</f>
        <v>411302199207053116</v>
      </c>
      <c r="E466" s="8" t="str">
        <f>"10960061613"</f>
        <v>10960061613</v>
      </c>
      <c r="F466" s="7" t="str">
        <f t="shared" si="23"/>
        <v>16</v>
      </c>
      <c r="G466" s="7" t="str">
        <f>"13"</f>
        <v>13</v>
      </c>
      <c r="H466" s="7" t="s">
        <v>45</v>
      </c>
      <c r="I466" s="7" t="s">
        <v>14</v>
      </c>
      <c r="J466" s="9"/>
    </row>
    <row r="467" ht="14.25" spans="1:10">
      <c r="A467" s="7" t="s">
        <v>404</v>
      </c>
      <c r="B467" s="7" t="s">
        <v>482</v>
      </c>
      <c r="C467" s="7" t="str">
        <f t="shared" si="22"/>
        <v>女</v>
      </c>
      <c r="D467" s="7" t="str">
        <f>"411303199807301829"</f>
        <v>411303199807301829</v>
      </c>
      <c r="E467" s="8" t="str">
        <f>"10960061614"</f>
        <v>10960061614</v>
      </c>
      <c r="F467" s="7" t="str">
        <f t="shared" si="23"/>
        <v>16</v>
      </c>
      <c r="G467" s="7" t="str">
        <f>"14"</f>
        <v>14</v>
      </c>
      <c r="H467" s="7" t="s">
        <v>45</v>
      </c>
      <c r="I467" s="7" t="s">
        <v>14</v>
      </c>
      <c r="J467" s="9"/>
    </row>
    <row r="468" ht="14.25" spans="1:10">
      <c r="A468" s="7" t="s">
        <v>404</v>
      </c>
      <c r="B468" s="7" t="s">
        <v>483</v>
      </c>
      <c r="C468" s="7" t="str">
        <f t="shared" si="22"/>
        <v>男</v>
      </c>
      <c r="D468" s="7" t="str">
        <f>"411325199804057814"</f>
        <v>411325199804057814</v>
      </c>
      <c r="E468" s="8" t="str">
        <f>"10960061615"</f>
        <v>10960061615</v>
      </c>
      <c r="F468" s="7" t="str">
        <f t="shared" si="23"/>
        <v>16</v>
      </c>
      <c r="G468" s="7" t="str">
        <f>"15"</f>
        <v>15</v>
      </c>
      <c r="H468" s="7" t="s">
        <v>45</v>
      </c>
      <c r="I468" s="7" t="s">
        <v>14</v>
      </c>
      <c r="J468" s="9"/>
    </row>
    <row r="469" ht="14.25" spans="1:10">
      <c r="A469" s="7" t="s">
        <v>404</v>
      </c>
      <c r="B469" s="7" t="s">
        <v>484</v>
      </c>
      <c r="C469" s="7" t="str">
        <f t="shared" si="22"/>
        <v>男</v>
      </c>
      <c r="D469" s="7" t="str">
        <f>"41132519910731001X"</f>
        <v>41132519910731001X</v>
      </c>
      <c r="E469" s="8" t="str">
        <f>"10960061616"</f>
        <v>10960061616</v>
      </c>
      <c r="F469" s="7" t="str">
        <f t="shared" si="23"/>
        <v>16</v>
      </c>
      <c r="G469" s="7" t="str">
        <f>"16"</f>
        <v>16</v>
      </c>
      <c r="H469" s="7" t="s">
        <v>45</v>
      </c>
      <c r="I469" s="7">
        <v>64.2</v>
      </c>
      <c r="J469" s="9"/>
    </row>
    <row r="470" ht="14.25" spans="1:10">
      <c r="A470" s="7" t="s">
        <v>404</v>
      </c>
      <c r="B470" s="7" t="s">
        <v>256</v>
      </c>
      <c r="C470" s="7" t="str">
        <f t="shared" si="22"/>
        <v>女</v>
      </c>
      <c r="D470" s="7" t="str">
        <f>"411123199804113026"</f>
        <v>411123199804113026</v>
      </c>
      <c r="E470" s="8" t="str">
        <f>"10960061617"</f>
        <v>10960061617</v>
      </c>
      <c r="F470" s="7" t="str">
        <f t="shared" si="23"/>
        <v>16</v>
      </c>
      <c r="G470" s="7" t="str">
        <f>"17"</f>
        <v>17</v>
      </c>
      <c r="H470" s="7" t="s">
        <v>45</v>
      </c>
      <c r="I470" s="7" t="s">
        <v>14</v>
      </c>
      <c r="J470" s="9"/>
    </row>
    <row r="471" ht="14.25" spans="1:10">
      <c r="A471" s="7" t="s">
        <v>404</v>
      </c>
      <c r="B471" s="7" t="s">
        <v>485</v>
      </c>
      <c r="C471" s="7" t="str">
        <f t="shared" si="22"/>
        <v>男</v>
      </c>
      <c r="D471" s="7" t="str">
        <f>"411303199606040036"</f>
        <v>411303199606040036</v>
      </c>
      <c r="E471" s="8" t="str">
        <f>"10960061618"</f>
        <v>10960061618</v>
      </c>
      <c r="F471" s="7" t="str">
        <f t="shared" si="23"/>
        <v>16</v>
      </c>
      <c r="G471" s="7" t="str">
        <f>"18"</f>
        <v>18</v>
      </c>
      <c r="H471" s="7" t="s">
        <v>45</v>
      </c>
      <c r="I471" s="7" t="s">
        <v>14</v>
      </c>
      <c r="J471" s="9"/>
    </row>
    <row r="472" ht="14.25" spans="1:10">
      <c r="A472" s="7" t="s">
        <v>404</v>
      </c>
      <c r="B472" s="7" t="s">
        <v>486</v>
      </c>
      <c r="C472" s="7" t="str">
        <f t="shared" si="22"/>
        <v>男</v>
      </c>
      <c r="D472" s="7" t="str">
        <f>"411325199810101332"</f>
        <v>411325199810101332</v>
      </c>
      <c r="E472" s="8" t="str">
        <f>"10960061619"</f>
        <v>10960061619</v>
      </c>
      <c r="F472" s="7" t="str">
        <f t="shared" si="23"/>
        <v>16</v>
      </c>
      <c r="G472" s="7" t="str">
        <f>"19"</f>
        <v>19</v>
      </c>
      <c r="H472" s="7" t="s">
        <v>45</v>
      </c>
      <c r="I472" s="7" t="s">
        <v>14</v>
      </c>
      <c r="J472" s="9"/>
    </row>
    <row r="473" ht="14.25" spans="1:10">
      <c r="A473" s="7" t="s">
        <v>404</v>
      </c>
      <c r="B473" s="7" t="s">
        <v>487</v>
      </c>
      <c r="C473" s="7" t="str">
        <f t="shared" si="22"/>
        <v>男</v>
      </c>
      <c r="D473" s="7" t="str">
        <f>"412724199210175115"</f>
        <v>412724199210175115</v>
      </c>
      <c r="E473" s="8" t="str">
        <f>"10960061620"</f>
        <v>10960061620</v>
      </c>
      <c r="F473" s="7" t="str">
        <f t="shared" si="23"/>
        <v>16</v>
      </c>
      <c r="G473" s="7" t="str">
        <f>"20"</f>
        <v>20</v>
      </c>
      <c r="H473" s="7" t="s">
        <v>45</v>
      </c>
      <c r="I473" s="7" t="s">
        <v>14</v>
      </c>
      <c r="J473" s="9"/>
    </row>
    <row r="474" ht="14.25" spans="1:10">
      <c r="A474" s="7" t="s">
        <v>404</v>
      </c>
      <c r="B474" s="7" t="s">
        <v>488</v>
      </c>
      <c r="C474" s="7" t="str">
        <f t="shared" si="22"/>
        <v>男</v>
      </c>
      <c r="D474" s="7" t="str">
        <f>"411328199511272114"</f>
        <v>411328199511272114</v>
      </c>
      <c r="E474" s="8" t="str">
        <f>"10960061621"</f>
        <v>10960061621</v>
      </c>
      <c r="F474" s="7" t="str">
        <f t="shared" si="23"/>
        <v>16</v>
      </c>
      <c r="G474" s="7" t="str">
        <f>"21"</f>
        <v>21</v>
      </c>
      <c r="H474" s="7" t="s">
        <v>45</v>
      </c>
      <c r="I474" s="7">
        <v>64.7</v>
      </c>
      <c r="J474" s="9"/>
    </row>
    <row r="475" ht="14.25" spans="1:10">
      <c r="A475" s="7" t="s">
        <v>404</v>
      </c>
      <c r="B475" s="7" t="s">
        <v>489</v>
      </c>
      <c r="C475" s="7" t="str">
        <f t="shared" si="22"/>
        <v>男</v>
      </c>
      <c r="D475" s="7" t="str">
        <f>"130406199004081216"</f>
        <v>130406199004081216</v>
      </c>
      <c r="E475" s="8" t="str">
        <f>"10960061622"</f>
        <v>10960061622</v>
      </c>
      <c r="F475" s="7" t="str">
        <f t="shared" si="23"/>
        <v>16</v>
      </c>
      <c r="G475" s="7" t="str">
        <f>"22"</f>
        <v>22</v>
      </c>
      <c r="H475" s="7" t="s">
        <v>45</v>
      </c>
      <c r="I475" s="7" t="s">
        <v>14</v>
      </c>
      <c r="J475" s="9"/>
    </row>
    <row r="476" ht="14.25" spans="1:10">
      <c r="A476" s="7" t="s">
        <v>404</v>
      </c>
      <c r="B476" s="7" t="s">
        <v>490</v>
      </c>
      <c r="C476" s="7" t="str">
        <f t="shared" si="22"/>
        <v>男</v>
      </c>
      <c r="D476" s="7" t="str">
        <f>"41132319960603001X"</f>
        <v>41132319960603001X</v>
      </c>
      <c r="E476" s="8" t="str">
        <f>"10960061623"</f>
        <v>10960061623</v>
      </c>
      <c r="F476" s="7" t="str">
        <f t="shared" si="23"/>
        <v>16</v>
      </c>
      <c r="G476" s="7" t="str">
        <f>"23"</f>
        <v>23</v>
      </c>
      <c r="H476" s="7" t="s">
        <v>45</v>
      </c>
      <c r="I476" s="7">
        <v>64.1</v>
      </c>
      <c r="J476" s="9"/>
    </row>
    <row r="477" ht="14.25" spans="1:10">
      <c r="A477" s="7" t="s">
        <v>404</v>
      </c>
      <c r="B477" s="7" t="s">
        <v>491</v>
      </c>
      <c r="C477" s="7" t="str">
        <f t="shared" si="22"/>
        <v>男</v>
      </c>
      <c r="D477" s="7" t="str">
        <f>"411303199610256737"</f>
        <v>411303199610256737</v>
      </c>
      <c r="E477" s="8" t="str">
        <f>"10960061624"</f>
        <v>10960061624</v>
      </c>
      <c r="F477" s="7" t="str">
        <f t="shared" si="23"/>
        <v>16</v>
      </c>
      <c r="G477" s="7" t="str">
        <f>"24"</f>
        <v>24</v>
      </c>
      <c r="H477" s="7" t="s">
        <v>45</v>
      </c>
      <c r="I477" s="7">
        <v>55.7</v>
      </c>
      <c r="J477" s="9"/>
    </row>
    <row r="478" ht="14.25" spans="1:10">
      <c r="A478" s="7" t="s">
        <v>492</v>
      </c>
      <c r="B478" s="7" t="s">
        <v>493</v>
      </c>
      <c r="C478" s="7" t="str">
        <f t="shared" si="22"/>
        <v>男</v>
      </c>
      <c r="D478" s="7" t="str">
        <f>"411329199606274717"</f>
        <v>411329199606274717</v>
      </c>
      <c r="E478" s="8" t="str">
        <f>"10960071625"</f>
        <v>10960071625</v>
      </c>
      <c r="F478" s="7" t="str">
        <f t="shared" si="23"/>
        <v>16</v>
      </c>
      <c r="G478" s="7" t="str">
        <f>"25"</f>
        <v>25</v>
      </c>
      <c r="H478" s="7" t="s">
        <v>13</v>
      </c>
      <c r="I478" s="7" t="s">
        <v>14</v>
      </c>
      <c r="J478" s="9"/>
    </row>
    <row r="479" ht="14.25" spans="1:10">
      <c r="A479" s="7" t="s">
        <v>492</v>
      </c>
      <c r="B479" s="7" t="s">
        <v>224</v>
      </c>
      <c r="C479" s="7" t="str">
        <f t="shared" si="22"/>
        <v>男</v>
      </c>
      <c r="D479" s="7" t="str">
        <f>"411302199402060813"</f>
        <v>411302199402060813</v>
      </c>
      <c r="E479" s="8" t="str">
        <f>"10960071626"</f>
        <v>10960071626</v>
      </c>
      <c r="F479" s="7" t="str">
        <f t="shared" si="23"/>
        <v>16</v>
      </c>
      <c r="G479" s="7" t="str">
        <f>"26"</f>
        <v>26</v>
      </c>
      <c r="H479" s="7" t="s">
        <v>13</v>
      </c>
      <c r="I479" s="7" t="s">
        <v>14</v>
      </c>
      <c r="J479" s="9"/>
    </row>
    <row r="480" ht="14.25" spans="1:10">
      <c r="A480" s="7" t="s">
        <v>492</v>
      </c>
      <c r="B480" s="7" t="s">
        <v>494</v>
      </c>
      <c r="C480" s="7" t="str">
        <f t="shared" si="22"/>
        <v>女</v>
      </c>
      <c r="D480" s="7" t="str">
        <f>"411325199212051363"</f>
        <v>411325199212051363</v>
      </c>
      <c r="E480" s="8" t="str">
        <f>"10960071627"</f>
        <v>10960071627</v>
      </c>
      <c r="F480" s="7" t="str">
        <f t="shared" si="23"/>
        <v>16</v>
      </c>
      <c r="G480" s="7" t="str">
        <f>"27"</f>
        <v>27</v>
      </c>
      <c r="H480" s="7" t="s">
        <v>13</v>
      </c>
      <c r="I480" s="7" t="s">
        <v>14</v>
      </c>
      <c r="J480" s="9"/>
    </row>
    <row r="481" ht="14.25" spans="1:10">
      <c r="A481" s="7" t="s">
        <v>492</v>
      </c>
      <c r="B481" s="7" t="s">
        <v>495</v>
      </c>
      <c r="C481" s="7" t="str">
        <f t="shared" si="22"/>
        <v>男</v>
      </c>
      <c r="D481" s="7" t="str">
        <f>"411325199406010455"</f>
        <v>411325199406010455</v>
      </c>
      <c r="E481" s="8" t="str">
        <f>"10960071628"</f>
        <v>10960071628</v>
      </c>
      <c r="F481" s="7" t="str">
        <f t="shared" si="23"/>
        <v>16</v>
      </c>
      <c r="G481" s="7" t="str">
        <f>"28"</f>
        <v>28</v>
      </c>
      <c r="H481" s="7" t="s">
        <v>13</v>
      </c>
      <c r="I481" s="7">
        <v>64.8</v>
      </c>
      <c r="J481" s="9"/>
    </row>
    <row r="482" ht="14.25" spans="1:10">
      <c r="A482" s="7" t="s">
        <v>492</v>
      </c>
      <c r="B482" s="7" t="s">
        <v>496</v>
      </c>
      <c r="C482" s="7" t="str">
        <f t="shared" si="22"/>
        <v>女</v>
      </c>
      <c r="D482" s="7" t="str">
        <f>"411302199309293727"</f>
        <v>411302199309293727</v>
      </c>
      <c r="E482" s="8" t="str">
        <f>"10960071629"</f>
        <v>10960071629</v>
      </c>
      <c r="F482" s="7" t="str">
        <f t="shared" si="23"/>
        <v>16</v>
      </c>
      <c r="G482" s="7" t="str">
        <f>"29"</f>
        <v>29</v>
      </c>
      <c r="H482" s="7" t="s">
        <v>13</v>
      </c>
      <c r="I482" s="7" t="s">
        <v>14</v>
      </c>
      <c r="J482" s="9"/>
    </row>
    <row r="483" ht="14.25" spans="1:10">
      <c r="A483" s="7" t="s">
        <v>492</v>
      </c>
      <c r="B483" s="7" t="s">
        <v>410</v>
      </c>
      <c r="C483" s="7" t="str">
        <f t="shared" si="22"/>
        <v>女</v>
      </c>
      <c r="D483" s="7" t="str">
        <f>"411325199107113569"</f>
        <v>411325199107113569</v>
      </c>
      <c r="E483" s="8" t="str">
        <f>"10960071630"</f>
        <v>10960071630</v>
      </c>
      <c r="F483" s="7" t="str">
        <f t="shared" si="23"/>
        <v>16</v>
      </c>
      <c r="G483" s="7" t="str">
        <f>"30"</f>
        <v>30</v>
      </c>
      <c r="H483" s="7" t="s">
        <v>13</v>
      </c>
      <c r="I483" s="7" t="s">
        <v>14</v>
      </c>
      <c r="J483" s="9"/>
    </row>
    <row r="484" ht="14.25" spans="1:10">
      <c r="A484" s="7" t="s">
        <v>492</v>
      </c>
      <c r="B484" s="7" t="s">
        <v>497</v>
      </c>
      <c r="C484" s="7" t="str">
        <f t="shared" si="22"/>
        <v>女</v>
      </c>
      <c r="D484" s="7" t="str">
        <f>"411325199004200467"</f>
        <v>411325199004200467</v>
      </c>
      <c r="E484" s="8" t="str">
        <f>"10960071701"</f>
        <v>10960071701</v>
      </c>
      <c r="F484" s="7" t="str">
        <f t="shared" ref="F484:F513" si="24">"17"</f>
        <v>17</v>
      </c>
      <c r="G484" s="7" t="str">
        <f>"01"</f>
        <v>01</v>
      </c>
      <c r="H484" s="7" t="s">
        <v>13</v>
      </c>
      <c r="I484" s="7">
        <v>51.8</v>
      </c>
      <c r="J484" s="9"/>
    </row>
    <row r="485" ht="14.25" spans="1:10">
      <c r="A485" s="7" t="s">
        <v>492</v>
      </c>
      <c r="B485" s="7" t="s">
        <v>157</v>
      </c>
      <c r="C485" s="7" t="str">
        <f t="shared" si="22"/>
        <v>男</v>
      </c>
      <c r="D485" s="7" t="str">
        <f>"411325199808266015"</f>
        <v>411325199808266015</v>
      </c>
      <c r="E485" s="8" t="str">
        <f>"10960071702"</f>
        <v>10960071702</v>
      </c>
      <c r="F485" s="7" t="str">
        <f t="shared" si="24"/>
        <v>17</v>
      </c>
      <c r="G485" s="7" t="str">
        <f>"02"</f>
        <v>02</v>
      </c>
      <c r="H485" s="7" t="s">
        <v>13</v>
      </c>
      <c r="I485" s="7" t="s">
        <v>14</v>
      </c>
      <c r="J485" s="9"/>
    </row>
    <row r="486" ht="14.25" spans="1:10">
      <c r="A486" s="7" t="s">
        <v>492</v>
      </c>
      <c r="B486" s="7" t="s">
        <v>498</v>
      </c>
      <c r="C486" s="7" t="str">
        <f t="shared" si="22"/>
        <v>女</v>
      </c>
      <c r="D486" s="7" t="str">
        <f>"411329199511070041"</f>
        <v>411329199511070041</v>
      </c>
      <c r="E486" s="8" t="str">
        <f>"10960071703"</f>
        <v>10960071703</v>
      </c>
      <c r="F486" s="7" t="str">
        <f t="shared" si="24"/>
        <v>17</v>
      </c>
      <c r="G486" s="7" t="str">
        <f>"03"</f>
        <v>03</v>
      </c>
      <c r="H486" s="7" t="s">
        <v>13</v>
      </c>
      <c r="I486" s="7" t="s">
        <v>14</v>
      </c>
      <c r="J486" s="9"/>
    </row>
    <row r="487" ht="14.25" spans="1:10">
      <c r="A487" s="7" t="s">
        <v>492</v>
      </c>
      <c r="B487" s="7" t="s">
        <v>499</v>
      </c>
      <c r="C487" s="7" t="str">
        <f t="shared" si="22"/>
        <v>女</v>
      </c>
      <c r="D487" s="7" t="str">
        <f>"411302199201050029"</f>
        <v>411302199201050029</v>
      </c>
      <c r="E487" s="8" t="str">
        <f>"10960071704"</f>
        <v>10960071704</v>
      </c>
      <c r="F487" s="7" t="str">
        <f t="shared" si="24"/>
        <v>17</v>
      </c>
      <c r="G487" s="7" t="str">
        <f>"04"</f>
        <v>04</v>
      </c>
      <c r="H487" s="7" t="s">
        <v>13</v>
      </c>
      <c r="I487" s="7" t="s">
        <v>14</v>
      </c>
      <c r="J487" s="9"/>
    </row>
    <row r="488" ht="14.25" spans="1:10">
      <c r="A488" s="7" t="s">
        <v>492</v>
      </c>
      <c r="B488" s="7" t="s">
        <v>500</v>
      </c>
      <c r="C488" s="7" t="str">
        <f t="shared" si="22"/>
        <v>男</v>
      </c>
      <c r="D488" s="7" t="str">
        <f>"411381199202010438"</f>
        <v>411381199202010438</v>
      </c>
      <c r="E488" s="8" t="str">
        <f>"10960071705"</f>
        <v>10960071705</v>
      </c>
      <c r="F488" s="7" t="str">
        <f t="shared" si="24"/>
        <v>17</v>
      </c>
      <c r="G488" s="7" t="str">
        <f>"05"</f>
        <v>05</v>
      </c>
      <c r="H488" s="7" t="s">
        <v>13</v>
      </c>
      <c r="I488" s="7">
        <v>68.3</v>
      </c>
      <c r="J488" s="9"/>
    </row>
    <row r="489" ht="14.25" spans="1:10">
      <c r="A489" s="7" t="s">
        <v>492</v>
      </c>
      <c r="B489" s="7" t="s">
        <v>501</v>
      </c>
      <c r="C489" s="7" t="str">
        <f t="shared" si="22"/>
        <v>男</v>
      </c>
      <c r="D489" s="7" t="str">
        <f>"41132419940915401X"</f>
        <v>41132419940915401X</v>
      </c>
      <c r="E489" s="8" t="str">
        <f>"10960071706"</f>
        <v>10960071706</v>
      </c>
      <c r="F489" s="7" t="str">
        <f t="shared" si="24"/>
        <v>17</v>
      </c>
      <c r="G489" s="7" t="str">
        <f>"06"</f>
        <v>06</v>
      </c>
      <c r="H489" s="7" t="s">
        <v>13</v>
      </c>
      <c r="I489" s="7" t="s">
        <v>14</v>
      </c>
      <c r="J489" s="9"/>
    </row>
    <row r="490" ht="14.25" spans="1:10">
      <c r="A490" s="7" t="s">
        <v>492</v>
      </c>
      <c r="B490" s="7" t="s">
        <v>502</v>
      </c>
      <c r="C490" s="7" t="str">
        <f t="shared" si="22"/>
        <v>男</v>
      </c>
      <c r="D490" s="7" t="str">
        <f>"412822199111110079"</f>
        <v>412822199111110079</v>
      </c>
      <c r="E490" s="8" t="str">
        <f>"10960071707"</f>
        <v>10960071707</v>
      </c>
      <c r="F490" s="7" t="str">
        <f t="shared" si="24"/>
        <v>17</v>
      </c>
      <c r="G490" s="7" t="str">
        <f>"07"</f>
        <v>07</v>
      </c>
      <c r="H490" s="7" t="s">
        <v>13</v>
      </c>
      <c r="I490" s="7" t="s">
        <v>14</v>
      </c>
      <c r="J490" s="9"/>
    </row>
    <row r="491" ht="14.25" spans="1:10">
      <c r="A491" s="7" t="s">
        <v>492</v>
      </c>
      <c r="B491" s="7" t="s">
        <v>503</v>
      </c>
      <c r="C491" s="7" t="str">
        <f t="shared" si="22"/>
        <v>男</v>
      </c>
      <c r="D491" s="7" t="str">
        <f>"411303199108170057"</f>
        <v>411303199108170057</v>
      </c>
      <c r="E491" s="8" t="str">
        <f>"10960071708"</f>
        <v>10960071708</v>
      </c>
      <c r="F491" s="7" t="str">
        <f t="shared" si="24"/>
        <v>17</v>
      </c>
      <c r="G491" s="7" t="str">
        <f>"08"</f>
        <v>08</v>
      </c>
      <c r="H491" s="7" t="s">
        <v>13</v>
      </c>
      <c r="I491" s="7" t="s">
        <v>14</v>
      </c>
      <c r="J491" s="9"/>
    </row>
    <row r="492" ht="14.25" spans="1:10">
      <c r="A492" s="7" t="s">
        <v>492</v>
      </c>
      <c r="B492" s="7" t="s">
        <v>504</v>
      </c>
      <c r="C492" s="7" t="str">
        <f t="shared" si="22"/>
        <v>男</v>
      </c>
      <c r="D492" s="7" t="str">
        <f>"411325199405110438"</f>
        <v>411325199405110438</v>
      </c>
      <c r="E492" s="8" t="str">
        <f>"10960071709"</f>
        <v>10960071709</v>
      </c>
      <c r="F492" s="7" t="str">
        <f t="shared" si="24"/>
        <v>17</v>
      </c>
      <c r="G492" s="7" t="str">
        <f>"09"</f>
        <v>09</v>
      </c>
      <c r="H492" s="7" t="s">
        <v>13</v>
      </c>
      <c r="I492" s="7">
        <v>55.3</v>
      </c>
      <c r="J492" s="9"/>
    </row>
    <row r="493" ht="14.25" spans="1:10">
      <c r="A493" s="7" t="s">
        <v>492</v>
      </c>
      <c r="B493" s="7" t="s">
        <v>505</v>
      </c>
      <c r="C493" s="7" t="str">
        <f t="shared" si="22"/>
        <v>男</v>
      </c>
      <c r="D493" s="7" t="str">
        <f>"411321199501050011"</f>
        <v>411321199501050011</v>
      </c>
      <c r="E493" s="8" t="str">
        <f>"10960071710"</f>
        <v>10960071710</v>
      </c>
      <c r="F493" s="7" t="str">
        <f t="shared" si="24"/>
        <v>17</v>
      </c>
      <c r="G493" s="7" t="str">
        <f>"10"</f>
        <v>10</v>
      </c>
      <c r="H493" s="7" t="s">
        <v>13</v>
      </c>
      <c r="I493" s="7" t="s">
        <v>14</v>
      </c>
      <c r="J493" s="9"/>
    </row>
    <row r="494" ht="14.25" spans="1:10">
      <c r="A494" s="7" t="s">
        <v>492</v>
      </c>
      <c r="B494" s="7" t="s">
        <v>506</v>
      </c>
      <c r="C494" s="7" t="str">
        <f t="shared" si="22"/>
        <v>女</v>
      </c>
      <c r="D494" s="7" t="str">
        <f>"41132119970309002X"</f>
        <v>41132119970309002X</v>
      </c>
      <c r="E494" s="8" t="str">
        <f>"10960071711"</f>
        <v>10960071711</v>
      </c>
      <c r="F494" s="7" t="str">
        <f t="shared" si="24"/>
        <v>17</v>
      </c>
      <c r="G494" s="7" t="str">
        <f>"11"</f>
        <v>11</v>
      </c>
      <c r="H494" s="7" t="s">
        <v>13</v>
      </c>
      <c r="I494" s="7" t="s">
        <v>14</v>
      </c>
      <c r="J494" s="9"/>
    </row>
    <row r="495" ht="14.25" spans="1:10">
      <c r="A495" s="7" t="s">
        <v>492</v>
      </c>
      <c r="B495" s="7" t="s">
        <v>507</v>
      </c>
      <c r="C495" s="7" t="str">
        <f t="shared" si="22"/>
        <v>女</v>
      </c>
      <c r="D495" s="7" t="str">
        <f>"411325199906010742"</f>
        <v>411325199906010742</v>
      </c>
      <c r="E495" s="8" t="str">
        <f>"10960071712"</f>
        <v>10960071712</v>
      </c>
      <c r="F495" s="7" t="str">
        <f t="shared" si="24"/>
        <v>17</v>
      </c>
      <c r="G495" s="7" t="str">
        <f>"12"</f>
        <v>12</v>
      </c>
      <c r="H495" s="7" t="s">
        <v>13</v>
      </c>
      <c r="I495" s="7" t="s">
        <v>14</v>
      </c>
      <c r="J495" s="9"/>
    </row>
    <row r="496" ht="14.25" spans="1:10">
      <c r="A496" s="7" t="s">
        <v>492</v>
      </c>
      <c r="B496" s="7" t="s">
        <v>508</v>
      </c>
      <c r="C496" s="7" t="str">
        <f t="shared" si="22"/>
        <v>女</v>
      </c>
      <c r="D496" s="7" t="str">
        <f>"654324199111240027"</f>
        <v>654324199111240027</v>
      </c>
      <c r="E496" s="8" t="str">
        <f>"10960071713"</f>
        <v>10960071713</v>
      </c>
      <c r="F496" s="7" t="str">
        <f t="shared" si="24"/>
        <v>17</v>
      </c>
      <c r="G496" s="7" t="str">
        <f>"13"</f>
        <v>13</v>
      </c>
      <c r="H496" s="7" t="s">
        <v>13</v>
      </c>
      <c r="I496" s="7">
        <v>60.4</v>
      </c>
      <c r="J496" s="9"/>
    </row>
    <row r="497" ht="14.25" spans="1:10">
      <c r="A497" s="7" t="s">
        <v>492</v>
      </c>
      <c r="B497" s="7" t="s">
        <v>509</v>
      </c>
      <c r="C497" s="7" t="str">
        <f t="shared" si="22"/>
        <v>男</v>
      </c>
      <c r="D497" s="7" t="str">
        <f>"412822199007163090"</f>
        <v>412822199007163090</v>
      </c>
      <c r="E497" s="8" t="str">
        <f>"10960071714"</f>
        <v>10960071714</v>
      </c>
      <c r="F497" s="7" t="str">
        <f t="shared" si="24"/>
        <v>17</v>
      </c>
      <c r="G497" s="7" t="str">
        <f>"14"</f>
        <v>14</v>
      </c>
      <c r="H497" s="7" t="s">
        <v>13</v>
      </c>
      <c r="I497" s="7">
        <v>68.4</v>
      </c>
      <c r="J497" s="9"/>
    </row>
    <row r="498" ht="14.25" spans="1:10">
      <c r="A498" s="7" t="s">
        <v>492</v>
      </c>
      <c r="B498" s="7" t="s">
        <v>510</v>
      </c>
      <c r="C498" s="7" t="str">
        <f t="shared" si="22"/>
        <v>男</v>
      </c>
      <c r="D498" s="7" t="str">
        <f>"412822199306060032"</f>
        <v>412822199306060032</v>
      </c>
      <c r="E498" s="8" t="str">
        <f>"10960071715"</f>
        <v>10960071715</v>
      </c>
      <c r="F498" s="7" t="str">
        <f t="shared" si="24"/>
        <v>17</v>
      </c>
      <c r="G498" s="7" t="str">
        <f>"15"</f>
        <v>15</v>
      </c>
      <c r="H498" s="7" t="s">
        <v>13</v>
      </c>
      <c r="I498" s="7">
        <v>70.3</v>
      </c>
      <c r="J498" s="9"/>
    </row>
    <row r="499" ht="14.25" spans="1:10">
      <c r="A499" s="7" t="s">
        <v>492</v>
      </c>
      <c r="B499" s="7" t="s">
        <v>511</v>
      </c>
      <c r="C499" s="7" t="str">
        <f t="shared" si="22"/>
        <v>男</v>
      </c>
      <c r="D499" s="7" t="str">
        <f>"411329199407153111"</f>
        <v>411329199407153111</v>
      </c>
      <c r="E499" s="8" t="str">
        <f>"10960071716"</f>
        <v>10960071716</v>
      </c>
      <c r="F499" s="7" t="str">
        <f t="shared" si="24"/>
        <v>17</v>
      </c>
      <c r="G499" s="7" t="str">
        <f>"16"</f>
        <v>16</v>
      </c>
      <c r="H499" s="7" t="s">
        <v>13</v>
      </c>
      <c r="I499" s="7" t="s">
        <v>14</v>
      </c>
      <c r="J499" s="9"/>
    </row>
    <row r="500" ht="14.25" spans="1:10">
      <c r="A500" s="7" t="s">
        <v>492</v>
      </c>
      <c r="B500" s="7" t="s">
        <v>512</v>
      </c>
      <c r="C500" s="7" t="str">
        <f t="shared" si="22"/>
        <v>女</v>
      </c>
      <c r="D500" s="7" t="str">
        <f>"411303199106151020"</f>
        <v>411303199106151020</v>
      </c>
      <c r="E500" s="8" t="str">
        <f>"10960071717"</f>
        <v>10960071717</v>
      </c>
      <c r="F500" s="7" t="str">
        <f t="shared" si="24"/>
        <v>17</v>
      </c>
      <c r="G500" s="7" t="str">
        <f>"17"</f>
        <v>17</v>
      </c>
      <c r="H500" s="7" t="s">
        <v>13</v>
      </c>
      <c r="I500" s="7">
        <v>64.5</v>
      </c>
      <c r="J500" s="9"/>
    </row>
    <row r="501" ht="14.25" spans="1:10">
      <c r="A501" s="7" t="s">
        <v>492</v>
      </c>
      <c r="B501" s="7" t="s">
        <v>513</v>
      </c>
      <c r="C501" s="7" t="str">
        <f t="shared" si="22"/>
        <v>男</v>
      </c>
      <c r="D501" s="7" t="str">
        <f>"411325199710236053"</f>
        <v>411325199710236053</v>
      </c>
      <c r="E501" s="8" t="str">
        <f>"10960071718"</f>
        <v>10960071718</v>
      </c>
      <c r="F501" s="7" t="str">
        <f t="shared" si="24"/>
        <v>17</v>
      </c>
      <c r="G501" s="7" t="str">
        <f>"18"</f>
        <v>18</v>
      </c>
      <c r="H501" s="7" t="s">
        <v>13</v>
      </c>
      <c r="I501" s="7">
        <v>59</v>
      </c>
      <c r="J501" s="9"/>
    </row>
    <row r="502" ht="14.25" spans="1:10">
      <c r="A502" s="7" t="s">
        <v>492</v>
      </c>
      <c r="B502" s="7" t="s">
        <v>514</v>
      </c>
      <c r="C502" s="7" t="str">
        <f t="shared" si="22"/>
        <v>男</v>
      </c>
      <c r="D502" s="7" t="str">
        <f>"411325199505091916"</f>
        <v>411325199505091916</v>
      </c>
      <c r="E502" s="8" t="str">
        <f>"10960071719"</f>
        <v>10960071719</v>
      </c>
      <c r="F502" s="7" t="str">
        <f t="shared" si="24"/>
        <v>17</v>
      </c>
      <c r="G502" s="7" t="str">
        <f>"19"</f>
        <v>19</v>
      </c>
      <c r="H502" s="7" t="s">
        <v>13</v>
      </c>
      <c r="I502" s="7">
        <v>55.9</v>
      </c>
      <c r="J502" s="9"/>
    </row>
    <row r="503" ht="14.25" spans="1:10">
      <c r="A503" s="7" t="s">
        <v>492</v>
      </c>
      <c r="B503" s="7" t="s">
        <v>31</v>
      </c>
      <c r="C503" s="7" t="str">
        <f t="shared" si="22"/>
        <v>男</v>
      </c>
      <c r="D503" s="7" t="str">
        <f>"411328199704115510"</f>
        <v>411328199704115510</v>
      </c>
      <c r="E503" s="8" t="str">
        <f>"10960071720"</f>
        <v>10960071720</v>
      </c>
      <c r="F503" s="7" t="str">
        <f t="shared" si="24"/>
        <v>17</v>
      </c>
      <c r="G503" s="7" t="str">
        <f>"20"</f>
        <v>20</v>
      </c>
      <c r="H503" s="7" t="s">
        <v>13</v>
      </c>
      <c r="I503" s="7">
        <v>64.4</v>
      </c>
      <c r="J503" s="9"/>
    </row>
    <row r="504" ht="14.25" spans="1:10">
      <c r="A504" s="7" t="s">
        <v>492</v>
      </c>
      <c r="B504" s="7" t="s">
        <v>515</v>
      </c>
      <c r="C504" s="7" t="str">
        <f t="shared" si="22"/>
        <v>男</v>
      </c>
      <c r="D504" s="7" t="str">
        <f>"411325199612240032"</f>
        <v>411325199612240032</v>
      </c>
      <c r="E504" s="8" t="str">
        <f>"10960071721"</f>
        <v>10960071721</v>
      </c>
      <c r="F504" s="7" t="str">
        <f t="shared" si="24"/>
        <v>17</v>
      </c>
      <c r="G504" s="7" t="str">
        <f>"21"</f>
        <v>21</v>
      </c>
      <c r="H504" s="7" t="s">
        <v>13</v>
      </c>
      <c r="I504" s="7">
        <v>61.7</v>
      </c>
      <c r="J504" s="9"/>
    </row>
    <row r="505" ht="14.25" spans="1:10">
      <c r="A505" s="7" t="s">
        <v>492</v>
      </c>
      <c r="B505" s="7" t="s">
        <v>516</v>
      </c>
      <c r="C505" s="7" t="str">
        <f t="shared" si="22"/>
        <v>男</v>
      </c>
      <c r="D505" s="7" t="str">
        <f>"411325199609121315"</f>
        <v>411325199609121315</v>
      </c>
      <c r="E505" s="8" t="str">
        <f>"10960071722"</f>
        <v>10960071722</v>
      </c>
      <c r="F505" s="7" t="str">
        <f t="shared" si="24"/>
        <v>17</v>
      </c>
      <c r="G505" s="7" t="str">
        <f>"22"</f>
        <v>22</v>
      </c>
      <c r="H505" s="7" t="s">
        <v>13</v>
      </c>
      <c r="I505" s="7">
        <v>48.1</v>
      </c>
      <c r="J505" s="9"/>
    </row>
    <row r="506" ht="14.25" spans="1:10">
      <c r="A506" s="7" t="s">
        <v>492</v>
      </c>
      <c r="B506" s="7" t="s">
        <v>517</v>
      </c>
      <c r="C506" s="7" t="str">
        <f t="shared" si="22"/>
        <v>男</v>
      </c>
      <c r="D506" s="7" t="str">
        <f>"411329199601133114"</f>
        <v>411329199601133114</v>
      </c>
      <c r="E506" s="8" t="str">
        <f>"10960071723"</f>
        <v>10960071723</v>
      </c>
      <c r="F506" s="7" t="str">
        <f t="shared" si="24"/>
        <v>17</v>
      </c>
      <c r="G506" s="7" t="str">
        <f>"23"</f>
        <v>23</v>
      </c>
      <c r="H506" s="7" t="s">
        <v>13</v>
      </c>
      <c r="I506" s="7">
        <v>77</v>
      </c>
      <c r="J506" s="9"/>
    </row>
    <row r="507" ht="14.25" spans="1:10">
      <c r="A507" s="7" t="s">
        <v>492</v>
      </c>
      <c r="B507" s="7" t="s">
        <v>518</v>
      </c>
      <c r="C507" s="7" t="str">
        <f t="shared" si="22"/>
        <v>男</v>
      </c>
      <c r="D507" s="7" t="str">
        <f>"411325199311090413"</f>
        <v>411325199311090413</v>
      </c>
      <c r="E507" s="8" t="str">
        <f>"10960071724"</f>
        <v>10960071724</v>
      </c>
      <c r="F507" s="7" t="str">
        <f t="shared" si="24"/>
        <v>17</v>
      </c>
      <c r="G507" s="7" t="str">
        <f>"24"</f>
        <v>24</v>
      </c>
      <c r="H507" s="7" t="s">
        <v>13</v>
      </c>
      <c r="I507" s="7" t="s">
        <v>14</v>
      </c>
      <c r="J507" s="9"/>
    </row>
    <row r="508" ht="14.25" spans="1:10">
      <c r="A508" s="7" t="s">
        <v>492</v>
      </c>
      <c r="B508" s="7" t="s">
        <v>519</v>
      </c>
      <c r="C508" s="7" t="str">
        <f t="shared" si="22"/>
        <v>男</v>
      </c>
      <c r="D508" s="7" t="str">
        <f>"41132519980323003X"</f>
        <v>41132519980323003X</v>
      </c>
      <c r="E508" s="8" t="str">
        <f>"10960071725"</f>
        <v>10960071725</v>
      </c>
      <c r="F508" s="7" t="str">
        <f t="shared" si="24"/>
        <v>17</v>
      </c>
      <c r="G508" s="7" t="str">
        <f>"25"</f>
        <v>25</v>
      </c>
      <c r="H508" s="7" t="s">
        <v>13</v>
      </c>
      <c r="I508" s="7">
        <v>57.3</v>
      </c>
      <c r="J508" s="9"/>
    </row>
    <row r="509" ht="14.25" spans="1:10">
      <c r="A509" s="7" t="s">
        <v>492</v>
      </c>
      <c r="B509" s="7" t="s">
        <v>520</v>
      </c>
      <c r="C509" s="7" t="str">
        <f t="shared" si="22"/>
        <v>女</v>
      </c>
      <c r="D509" s="7" t="str">
        <f>"411325199801109041"</f>
        <v>411325199801109041</v>
      </c>
      <c r="E509" s="8" t="str">
        <f>"10960071726"</f>
        <v>10960071726</v>
      </c>
      <c r="F509" s="7" t="str">
        <f t="shared" si="24"/>
        <v>17</v>
      </c>
      <c r="G509" s="7" t="str">
        <f>"26"</f>
        <v>26</v>
      </c>
      <c r="H509" s="7" t="s">
        <v>13</v>
      </c>
      <c r="I509" s="7">
        <v>56.8</v>
      </c>
      <c r="J509" s="9"/>
    </row>
    <row r="510" ht="14.25" spans="1:10">
      <c r="A510" s="7" t="s">
        <v>492</v>
      </c>
      <c r="B510" s="7" t="s">
        <v>521</v>
      </c>
      <c r="C510" s="7" t="str">
        <f t="shared" si="22"/>
        <v>男</v>
      </c>
      <c r="D510" s="7" t="str">
        <f>"41132519941206947X"</f>
        <v>41132519941206947X</v>
      </c>
      <c r="E510" s="8" t="str">
        <f>"10960071727"</f>
        <v>10960071727</v>
      </c>
      <c r="F510" s="7" t="str">
        <f t="shared" si="24"/>
        <v>17</v>
      </c>
      <c r="G510" s="7" t="str">
        <f>"27"</f>
        <v>27</v>
      </c>
      <c r="H510" s="7" t="s">
        <v>13</v>
      </c>
      <c r="I510" s="7">
        <v>63.4</v>
      </c>
      <c r="J510" s="9"/>
    </row>
    <row r="511" ht="14.25" spans="1:10">
      <c r="A511" s="7" t="s">
        <v>492</v>
      </c>
      <c r="B511" s="7" t="s">
        <v>522</v>
      </c>
      <c r="C511" s="7" t="str">
        <f t="shared" si="22"/>
        <v>女</v>
      </c>
      <c r="D511" s="7" t="str">
        <f>"411325199609307021"</f>
        <v>411325199609307021</v>
      </c>
      <c r="E511" s="8" t="str">
        <f>"10960071728"</f>
        <v>10960071728</v>
      </c>
      <c r="F511" s="7" t="str">
        <f t="shared" si="24"/>
        <v>17</v>
      </c>
      <c r="G511" s="7" t="str">
        <f>"28"</f>
        <v>28</v>
      </c>
      <c r="H511" s="7" t="s">
        <v>13</v>
      </c>
      <c r="I511" s="7" t="s">
        <v>14</v>
      </c>
      <c r="J511" s="9"/>
    </row>
    <row r="512" ht="14.25" spans="1:10">
      <c r="A512" s="7" t="s">
        <v>492</v>
      </c>
      <c r="B512" s="7" t="s">
        <v>523</v>
      </c>
      <c r="C512" s="7" t="str">
        <f t="shared" si="22"/>
        <v>女</v>
      </c>
      <c r="D512" s="7" t="str">
        <f>"411325199304080022"</f>
        <v>411325199304080022</v>
      </c>
      <c r="E512" s="8" t="str">
        <f>"10960071729"</f>
        <v>10960071729</v>
      </c>
      <c r="F512" s="7" t="str">
        <f t="shared" si="24"/>
        <v>17</v>
      </c>
      <c r="G512" s="7" t="str">
        <f>"29"</f>
        <v>29</v>
      </c>
      <c r="H512" s="7" t="s">
        <v>13</v>
      </c>
      <c r="I512" s="7">
        <v>69.4</v>
      </c>
      <c r="J512" s="9"/>
    </row>
    <row r="513" ht="14.25" spans="1:10">
      <c r="A513" s="7" t="s">
        <v>492</v>
      </c>
      <c r="B513" s="7" t="s">
        <v>524</v>
      </c>
      <c r="C513" s="7" t="str">
        <f t="shared" si="22"/>
        <v>女</v>
      </c>
      <c r="D513" s="7" t="str">
        <f>"411325199609161341"</f>
        <v>411325199609161341</v>
      </c>
      <c r="E513" s="8" t="str">
        <f>"10960071730"</f>
        <v>10960071730</v>
      </c>
      <c r="F513" s="7" t="str">
        <f t="shared" si="24"/>
        <v>17</v>
      </c>
      <c r="G513" s="7" t="str">
        <f>"30"</f>
        <v>30</v>
      </c>
      <c r="H513" s="7" t="s">
        <v>13</v>
      </c>
      <c r="I513" s="7" t="s">
        <v>14</v>
      </c>
      <c r="J513" s="9"/>
    </row>
    <row r="514" ht="14.25" spans="1:10">
      <c r="A514" s="7" t="s">
        <v>492</v>
      </c>
      <c r="B514" s="7" t="s">
        <v>525</v>
      </c>
      <c r="C514" s="7" t="str">
        <f t="shared" si="22"/>
        <v>男</v>
      </c>
      <c r="D514" s="7" t="str">
        <f>"411325199712279057"</f>
        <v>411325199712279057</v>
      </c>
      <c r="E514" s="8" t="str">
        <f>"10960071801"</f>
        <v>10960071801</v>
      </c>
      <c r="F514" s="7" t="str">
        <f t="shared" ref="F514:F543" si="25">"18"</f>
        <v>18</v>
      </c>
      <c r="G514" s="7" t="str">
        <f>"01"</f>
        <v>01</v>
      </c>
      <c r="H514" s="7" t="s">
        <v>13</v>
      </c>
      <c r="I514" s="7" t="s">
        <v>14</v>
      </c>
      <c r="J514" s="9"/>
    </row>
    <row r="515" ht="14.25" spans="1:10">
      <c r="A515" s="7" t="s">
        <v>492</v>
      </c>
      <c r="B515" s="7" t="s">
        <v>526</v>
      </c>
      <c r="C515" s="7" t="str">
        <f t="shared" si="22"/>
        <v>女</v>
      </c>
      <c r="D515" s="7" t="str">
        <f>"411321199112051520"</f>
        <v>411321199112051520</v>
      </c>
      <c r="E515" s="8" t="str">
        <f>"10960071802"</f>
        <v>10960071802</v>
      </c>
      <c r="F515" s="7" t="str">
        <f t="shared" si="25"/>
        <v>18</v>
      </c>
      <c r="G515" s="7" t="str">
        <f>"02"</f>
        <v>02</v>
      </c>
      <c r="H515" s="7" t="s">
        <v>13</v>
      </c>
      <c r="I515" s="7">
        <v>38.3</v>
      </c>
      <c r="J515" s="9"/>
    </row>
    <row r="516" ht="14.25" spans="1:10">
      <c r="A516" s="7" t="s">
        <v>492</v>
      </c>
      <c r="B516" s="7" t="s">
        <v>527</v>
      </c>
      <c r="C516" s="7" t="str">
        <f t="shared" ref="C516:C579" si="26">IF(MOD(MID(D516,17,1),2),"男","女")</f>
        <v>女</v>
      </c>
      <c r="D516" s="7" t="str">
        <f>"411325199303070041"</f>
        <v>411325199303070041</v>
      </c>
      <c r="E516" s="8" t="str">
        <f>"10960071803"</f>
        <v>10960071803</v>
      </c>
      <c r="F516" s="7" t="str">
        <f t="shared" si="25"/>
        <v>18</v>
      </c>
      <c r="G516" s="7" t="str">
        <f>"03"</f>
        <v>03</v>
      </c>
      <c r="H516" s="7" t="s">
        <v>13</v>
      </c>
      <c r="I516" s="7">
        <v>77.1</v>
      </c>
      <c r="J516" s="9"/>
    </row>
    <row r="517" ht="14.25" spans="1:10">
      <c r="A517" s="7" t="s">
        <v>492</v>
      </c>
      <c r="B517" s="7" t="s">
        <v>528</v>
      </c>
      <c r="C517" s="7" t="str">
        <f t="shared" si="26"/>
        <v>男</v>
      </c>
      <c r="D517" s="7" t="str">
        <f>"411325199108080455"</f>
        <v>411325199108080455</v>
      </c>
      <c r="E517" s="8" t="str">
        <f>"10960071804"</f>
        <v>10960071804</v>
      </c>
      <c r="F517" s="7" t="str">
        <f t="shared" si="25"/>
        <v>18</v>
      </c>
      <c r="G517" s="7" t="str">
        <f>"04"</f>
        <v>04</v>
      </c>
      <c r="H517" s="7" t="s">
        <v>13</v>
      </c>
      <c r="I517" s="7">
        <v>56.2</v>
      </c>
      <c r="J517" s="9"/>
    </row>
    <row r="518" ht="14.25" spans="1:10">
      <c r="A518" s="7" t="s">
        <v>492</v>
      </c>
      <c r="B518" s="7" t="s">
        <v>529</v>
      </c>
      <c r="C518" s="7" t="str">
        <f t="shared" si="26"/>
        <v>男</v>
      </c>
      <c r="D518" s="7" t="str">
        <f>"41132919971212195X"</f>
        <v>41132919971212195X</v>
      </c>
      <c r="E518" s="8" t="str">
        <f>"10960071805"</f>
        <v>10960071805</v>
      </c>
      <c r="F518" s="7" t="str">
        <f t="shared" si="25"/>
        <v>18</v>
      </c>
      <c r="G518" s="7" t="str">
        <f>"05"</f>
        <v>05</v>
      </c>
      <c r="H518" s="7" t="s">
        <v>13</v>
      </c>
      <c r="I518" s="7" t="s">
        <v>14</v>
      </c>
      <c r="J518" s="9"/>
    </row>
    <row r="519" ht="14.25" spans="1:10">
      <c r="A519" s="7" t="s">
        <v>492</v>
      </c>
      <c r="B519" s="7" t="s">
        <v>530</v>
      </c>
      <c r="C519" s="7" t="str">
        <f t="shared" si="26"/>
        <v>女</v>
      </c>
      <c r="D519" s="7" t="str">
        <f>"411325199706140024"</f>
        <v>411325199706140024</v>
      </c>
      <c r="E519" s="8" t="str">
        <f>"10960071806"</f>
        <v>10960071806</v>
      </c>
      <c r="F519" s="7" t="str">
        <f t="shared" si="25"/>
        <v>18</v>
      </c>
      <c r="G519" s="7" t="str">
        <f>"06"</f>
        <v>06</v>
      </c>
      <c r="H519" s="7" t="s">
        <v>13</v>
      </c>
      <c r="I519" s="7" t="s">
        <v>14</v>
      </c>
      <c r="J519" s="9"/>
    </row>
    <row r="520" ht="14.25" spans="1:10">
      <c r="A520" s="7" t="s">
        <v>492</v>
      </c>
      <c r="B520" s="7" t="s">
        <v>531</v>
      </c>
      <c r="C520" s="7" t="str">
        <f t="shared" si="26"/>
        <v>男</v>
      </c>
      <c r="D520" s="7" t="str">
        <f>"411325199101012919"</f>
        <v>411325199101012919</v>
      </c>
      <c r="E520" s="8" t="str">
        <f>"10960071807"</f>
        <v>10960071807</v>
      </c>
      <c r="F520" s="7" t="str">
        <f t="shared" si="25"/>
        <v>18</v>
      </c>
      <c r="G520" s="7" t="str">
        <f>"07"</f>
        <v>07</v>
      </c>
      <c r="H520" s="7" t="s">
        <v>13</v>
      </c>
      <c r="I520" s="7">
        <v>44.8</v>
      </c>
      <c r="J520" s="9"/>
    </row>
    <row r="521" ht="14.25" spans="1:10">
      <c r="A521" s="7" t="s">
        <v>492</v>
      </c>
      <c r="B521" s="7" t="s">
        <v>532</v>
      </c>
      <c r="C521" s="7" t="str">
        <f t="shared" si="26"/>
        <v>男</v>
      </c>
      <c r="D521" s="7" t="str">
        <f>"41132619961027581X"</f>
        <v>41132619961027581X</v>
      </c>
      <c r="E521" s="8" t="str">
        <f>"10960071808"</f>
        <v>10960071808</v>
      </c>
      <c r="F521" s="7" t="str">
        <f t="shared" si="25"/>
        <v>18</v>
      </c>
      <c r="G521" s="7" t="str">
        <f>"08"</f>
        <v>08</v>
      </c>
      <c r="H521" s="7" t="s">
        <v>13</v>
      </c>
      <c r="I521" s="7">
        <v>64</v>
      </c>
      <c r="J521" s="9"/>
    </row>
    <row r="522" ht="14.25" spans="1:10">
      <c r="A522" s="7" t="s">
        <v>492</v>
      </c>
      <c r="B522" s="7" t="s">
        <v>533</v>
      </c>
      <c r="C522" s="7" t="str">
        <f t="shared" si="26"/>
        <v>男</v>
      </c>
      <c r="D522" s="7" t="str">
        <f>"411325199807104516"</f>
        <v>411325199807104516</v>
      </c>
      <c r="E522" s="8" t="str">
        <f>"10960071809"</f>
        <v>10960071809</v>
      </c>
      <c r="F522" s="7" t="str">
        <f t="shared" si="25"/>
        <v>18</v>
      </c>
      <c r="G522" s="7" t="str">
        <f>"09"</f>
        <v>09</v>
      </c>
      <c r="H522" s="7" t="s">
        <v>13</v>
      </c>
      <c r="I522" s="7" t="s">
        <v>14</v>
      </c>
      <c r="J522" s="9"/>
    </row>
    <row r="523" ht="14.25" spans="1:10">
      <c r="A523" s="7" t="s">
        <v>492</v>
      </c>
      <c r="B523" s="7" t="s">
        <v>534</v>
      </c>
      <c r="C523" s="7" t="str">
        <f t="shared" si="26"/>
        <v>女</v>
      </c>
      <c r="D523" s="7" t="str">
        <f>"41132519900211002X"</f>
        <v>41132519900211002X</v>
      </c>
      <c r="E523" s="8" t="str">
        <f>"10960071810"</f>
        <v>10960071810</v>
      </c>
      <c r="F523" s="7" t="str">
        <f t="shared" si="25"/>
        <v>18</v>
      </c>
      <c r="G523" s="7" t="str">
        <f>"10"</f>
        <v>10</v>
      </c>
      <c r="H523" s="7" t="s">
        <v>13</v>
      </c>
      <c r="I523" s="7">
        <v>47.1</v>
      </c>
      <c r="J523" s="9"/>
    </row>
    <row r="524" ht="14.25" spans="1:10">
      <c r="A524" s="7" t="s">
        <v>492</v>
      </c>
      <c r="B524" s="7" t="s">
        <v>535</v>
      </c>
      <c r="C524" s="7" t="str">
        <f t="shared" si="26"/>
        <v>男</v>
      </c>
      <c r="D524" s="7" t="str">
        <f>"411303199001251033"</f>
        <v>411303199001251033</v>
      </c>
      <c r="E524" s="8" t="str">
        <f>"10960071811"</f>
        <v>10960071811</v>
      </c>
      <c r="F524" s="7" t="str">
        <f t="shared" si="25"/>
        <v>18</v>
      </c>
      <c r="G524" s="7" t="str">
        <f>"11"</f>
        <v>11</v>
      </c>
      <c r="H524" s="7" t="s">
        <v>13</v>
      </c>
      <c r="I524" s="7" t="s">
        <v>14</v>
      </c>
      <c r="J524" s="9"/>
    </row>
    <row r="525" ht="14.25" spans="1:10">
      <c r="A525" s="7" t="s">
        <v>492</v>
      </c>
      <c r="B525" s="7" t="s">
        <v>536</v>
      </c>
      <c r="C525" s="7" t="str">
        <f t="shared" si="26"/>
        <v>女</v>
      </c>
      <c r="D525" s="7" t="str">
        <f>"411303199710105928"</f>
        <v>411303199710105928</v>
      </c>
      <c r="E525" s="8" t="str">
        <f>"10960071812"</f>
        <v>10960071812</v>
      </c>
      <c r="F525" s="7" t="str">
        <f t="shared" si="25"/>
        <v>18</v>
      </c>
      <c r="G525" s="7" t="str">
        <f>"12"</f>
        <v>12</v>
      </c>
      <c r="H525" s="7" t="s">
        <v>13</v>
      </c>
      <c r="I525" s="7">
        <v>70</v>
      </c>
      <c r="J525" s="9"/>
    </row>
    <row r="526" ht="14.25" spans="1:10">
      <c r="A526" s="7" t="s">
        <v>492</v>
      </c>
      <c r="B526" s="7" t="s">
        <v>537</v>
      </c>
      <c r="C526" s="7" t="str">
        <f t="shared" si="26"/>
        <v>男</v>
      </c>
      <c r="D526" s="7" t="str">
        <f>"411326199710033316"</f>
        <v>411326199710033316</v>
      </c>
      <c r="E526" s="8" t="str">
        <f>"10960071813"</f>
        <v>10960071813</v>
      </c>
      <c r="F526" s="7" t="str">
        <f t="shared" si="25"/>
        <v>18</v>
      </c>
      <c r="G526" s="7" t="str">
        <f>"13"</f>
        <v>13</v>
      </c>
      <c r="H526" s="7" t="s">
        <v>13</v>
      </c>
      <c r="I526" s="7" t="s">
        <v>14</v>
      </c>
      <c r="J526" s="9"/>
    </row>
    <row r="527" ht="14.25" spans="1:10">
      <c r="A527" s="7" t="s">
        <v>492</v>
      </c>
      <c r="B527" s="7" t="s">
        <v>538</v>
      </c>
      <c r="C527" s="7" t="str">
        <f t="shared" si="26"/>
        <v>男</v>
      </c>
      <c r="D527" s="7" t="str">
        <f>"411325199306010415"</f>
        <v>411325199306010415</v>
      </c>
      <c r="E527" s="8" t="str">
        <f>"10960071814"</f>
        <v>10960071814</v>
      </c>
      <c r="F527" s="7" t="str">
        <f t="shared" si="25"/>
        <v>18</v>
      </c>
      <c r="G527" s="7" t="str">
        <f>"14"</f>
        <v>14</v>
      </c>
      <c r="H527" s="7" t="s">
        <v>13</v>
      </c>
      <c r="I527" s="7">
        <v>62.9</v>
      </c>
      <c r="J527" s="9"/>
    </row>
    <row r="528" ht="14.25" spans="1:10">
      <c r="A528" s="7" t="s">
        <v>492</v>
      </c>
      <c r="B528" s="7" t="s">
        <v>539</v>
      </c>
      <c r="C528" s="7" t="str">
        <f t="shared" si="26"/>
        <v>男</v>
      </c>
      <c r="D528" s="7" t="str">
        <f>"411302199601013753"</f>
        <v>411302199601013753</v>
      </c>
      <c r="E528" s="8" t="str">
        <f>"10960071815"</f>
        <v>10960071815</v>
      </c>
      <c r="F528" s="7" t="str">
        <f t="shared" si="25"/>
        <v>18</v>
      </c>
      <c r="G528" s="7" t="str">
        <f>"15"</f>
        <v>15</v>
      </c>
      <c r="H528" s="7" t="s">
        <v>13</v>
      </c>
      <c r="I528" s="7" t="s">
        <v>14</v>
      </c>
      <c r="J528" s="9"/>
    </row>
    <row r="529" ht="14.25" spans="1:10">
      <c r="A529" s="7" t="s">
        <v>492</v>
      </c>
      <c r="B529" s="7" t="s">
        <v>540</v>
      </c>
      <c r="C529" s="7" t="str">
        <f t="shared" si="26"/>
        <v>女</v>
      </c>
      <c r="D529" s="7" t="str">
        <f>"411327199801183121"</f>
        <v>411327199801183121</v>
      </c>
      <c r="E529" s="8" t="str">
        <f>"10960071816"</f>
        <v>10960071816</v>
      </c>
      <c r="F529" s="7" t="str">
        <f t="shared" si="25"/>
        <v>18</v>
      </c>
      <c r="G529" s="7" t="str">
        <f>"16"</f>
        <v>16</v>
      </c>
      <c r="H529" s="7" t="s">
        <v>13</v>
      </c>
      <c r="I529" s="7">
        <v>60.1</v>
      </c>
      <c r="J529" s="9"/>
    </row>
    <row r="530" ht="14.25" spans="1:10">
      <c r="A530" s="7" t="s">
        <v>492</v>
      </c>
      <c r="B530" s="7" t="s">
        <v>541</v>
      </c>
      <c r="C530" s="7" t="str">
        <f t="shared" si="26"/>
        <v>男</v>
      </c>
      <c r="D530" s="7" t="str">
        <f>"411325199411118655"</f>
        <v>411325199411118655</v>
      </c>
      <c r="E530" s="8" t="str">
        <f>"10960071817"</f>
        <v>10960071817</v>
      </c>
      <c r="F530" s="7" t="str">
        <f t="shared" si="25"/>
        <v>18</v>
      </c>
      <c r="G530" s="7" t="str">
        <f>"17"</f>
        <v>17</v>
      </c>
      <c r="H530" s="7" t="s">
        <v>13</v>
      </c>
      <c r="I530" s="7" t="s">
        <v>14</v>
      </c>
      <c r="J530" s="9"/>
    </row>
    <row r="531" ht="14.25" spans="1:10">
      <c r="A531" s="7" t="s">
        <v>492</v>
      </c>
      <c r="B531" s="7" t="s">
        <v>542</v>
      </c>
      <c r="C531" s="7" t="str">
        <f t="shared" si="26"/>
        <v>男</v>
      </c>
      <c r="D531" s="7" t="str">
        <f>"411325199806077018"</f>
        <v>411325199806077018</v>
      </c>
      <c r="E531" s="8" t="str">
        <f>"10960071818"</f>
        <v>10960071818</v>
      </c>
      <c r="F531" s="7" t="str">
        <f t="shared" si="25"/>
        <v>18</v>
      </c>
      <c r="G531" s="7" t="str">
        <f>"18"</f>
        <v>18</v>
      </c>
      <c r="H531" s="7" t="s">
        <v>13</v>
      </c>
      <c r="I531" s="7">
        <v>69.8</v>
      </c>
      <c r="J531" s="9"/>
    </row>
    <row r="532" ht="14.25" spans="1:10">
      <c r="A532" s="7" t="s">
        <v>492</v>
      </c>
      <c r="B532" s="7" t="s">
        <v>543</v>
      </c>
      <c r="C532" s="7" t="str">
        <f t="shared" si="26"/>
        <v>女</v>
      </c>
      <c r="D532" s="7" t="str">
        <f>"411325199403020420"</f>
        <v>411325199403020420</v>
      </c>
      <c r="E532" s="8" t="str">
        <f>"10960071819"</f>
        <v>10960071819</v>
      </c>
      <c r="F532" s="7" t="str">
        <f t="shared" si="25"/>
        <v>18</v>
      </c>
      <c r="G532" s="7" t="str">
        <f>"19"</f>
        <v>19</v>
      </c>
      <c r="H532" s="7" t="s">
        <v>13</v>
      </c>
      <c r="I532" s="7" t="s">
        <v>14</v>
      </c>
      <c r="J532" s="9"/>
    </row>
    <row r="533" ht="14.25" spans="1:10">
      <c r="A533" s="7" t="s">
        <v>492</v>
      </c>
      <c r="B533" s="7" t="s">
        <v>544</v>
      </c>
      <c r="C533" s="7" t="str">
        <f t="shared" si="26"/>
        <v>男</v>
      </c>
      <c r="D533" s="7" t="str">
        <f>"411321199412023214"</f>
        <v>411321199412023214</v>
      </c>
      <c r="E533" s="8" t="str">
        <f>"10960071820"</f>
        <v>10960071820</v>
      </c>
      <c r="F533" s="7" t="str">
        <f t="shared" si="25"/>
        <v>18</v>
      </c>
      <c r="G533" s="7" t="str">
        <f>"20"</f>
        <v>20</v>
      </c>
      <c r="H533" s="7" t="s">
        <v>13</v>
      </c>
      <c r="I533" s="7">
        <v>59.6</v>
      </c>
      <c r="J533" s="9"/>
    </row>
    <row r="534" ht="14.25" spans="1:10">
      <c r="A534" s="7" t="s">
        <v>492</v>
      </c>
      <c r="B534" s="7" t="s">
        <v>545</v>
      </c>
      <c r="C534" s="7" t="str">
        <f t="shared" si="26"/>
        <v>男</v>
      </c>
      <c r="D534" s="7" t="str">
        <f>"41132819930817501X"</f>
        <v>41132819930817501X</v>
      </c>
      <c r="E534" s="8" t="str">
        <f>"10960071821"</f>
        <v>10960071821</v>
      </c>
      <c r="F534" s="7" t="str">
        <f t="shared" si="25"/>
        <v>18</v>
      </c>
      <c r="G534" s="7" t="str">
        <f>"21"</f>
        <v>21</v>
      </c>
      <c r="H534" s="7" t="s">
        <v>13</v>
      </c>
      <c r="I534" s="7">
        <v>69.6</v>
      </c>
      <c r="J534" s="9"/>
    </row>
    <row r="535" ht="14.25" spans="1:10">
      <c r="A535" s="7" t="s">
        <v>492</v>
      </c>
      <c r="B535" s="7" t="s">
        <v>546</v>
      </c>
      <c r="C535" s="7" t="str">
        <f t="shared" si="26"/>
        <v>男</v>
      </c>
      <c r="D535" s="7" t="str">
        <f>"411322199009104918"</f>
        <v>411322199009104918</v>
      </c>
      <c r="E535" s="8" t="str">
        <f>"10960071822"</f>
        <v>10960071822</v>
      </c>
      <c r="F535" s="7" t="str">
        <f t="shared" si="25"/>
        <v>18</v>
      </c>
      <c r="G535" s="7" t="str">
        <f>"22"</f>
        <v>22</v>
      </c>
      <c r="H535" s="7" t="s">
        <v>13</v>
      </c>
      <c r="I535" s="7">
        <v>52.1</v>
      </c>
      <c r="J535" s="9"/>
    </row>
    <row r="536" ht="14.25" spans="1:10">
      <c r="A536" s="7" t="s">
        <v>492</v>
      </c>
      <c r="B536" s="7" t="s">
        <v>547</v>
      </c>
      <c r="C536" s="7" t="str">
        <f t="shared" si="26"/>
        <v>男</v>
      </c>
      <c r="D536" s="7" t="str">
        <f>"410901199007290518"</f>
        <v>410901199007290518</v>
      </c>
      <c r="E536" s="8" t="str">
        <f>"10960071823"</f>
        <v>10960071823</v>
      </c>
      <c r="F536" s="7" t="str">
        <f t="shared" si="25"/>
        <v>18</v>
      </c>
      <c r="G536" s="7" t="str">
        <f>"23"</f>
        <v>23</v>
      </c>
      <c r="H536" s="7" t="s">
        <v>13</v>
      </c>
      <c r="I536" s="7">
        <v>67.2</v>
      </c>
      <c r="J536" s="9"/>
    </row>
    <row r="537" ht="14.25" spans="1:10">
      <c r="A537" s="7" t="s">
        <v>492</v>
      </c>
      <c r="B537" s="7" t="s">
        <v>548</v>
      </c>
      <c r="C537" s="7" t="str">
        <f t="shared" si="26"/>
        <v>男</v>
      </c>
      <c r="D537" s="7" t="str">
        <f>"411325199602270692"</f>
        <v>411325199602270692</v>
      </c>
      <c r="E537" s="8" t="str">
        <f>"10960071824"</f>
        <v>10960071824</v>
      </c>
      <c r="F537" s="7" t="str">
        <f t="shared" si="25"/>
        <v>18</v>
      </c>
      <c r="G537" s="7" t="str">
        <f>"24"</f>
        <v>24</v>
      </c>
      <c r="H537" s="7" t="s">
        <v>13</v>
      </c>
      <c r="I537" s="7" t="s">
        <v>14</v>
      </c>
      <c r="J537" s="9"/>
    </row>
    <row r="538" ht="14.25" spans="1:10">
      <c r="A538" s="7" t="s">
        <v>492</v>
      </c>
      <c r="B538" s="7" t="s">
        <v>549</v>
      </c>
      <c r="C538" s="7" t="str">
        <f t="shared" si="26"/>
        <v>男</v>
      </c>
      <c r="D538" s="7" t="str">
        <f>"411381199005253094"</f>
        <v>411381199005253094</v>
      </c>
      <c r="E538" s="8" t="str">
        <f>"10960071825"</f>
        <v>10960071825</v>
      </c>
      <c r="F538" s="7" t="str">
        <f t="shared" si="25"/>
        <v>18</v>
      </c>
      <c r="G538" s="7" t="str">
        <f>"25"</f>
        <v>25</v>
      </c>
      <c r="H538" s="7" t="s">
        <v>13</v>
      </c>
      <c r="I538" s="7">
        <v>64.3</v>
      </c>
      <c r="J538" s="9"/>
    </row>
    <row r="539" ht="14.25" spans="1:10">
      <c r="A539" s="7" t="s">
        <v>492</v>
      </c>
      <c r="B539" s="7" t="s">
        <v>550</v>
      </c>
      <c r="C539" s="7" t="str">
        <f t="shared" si="26"/>
        <v>女</v>
      </c>
      <c r="D539" s="7" t="str">
        <f>"411325199301210725"</f>
        <v>411325199301210725</v>
      </c>
      <c r="E539" s="8" t="str">
        <f>"10960071826"</f>
        <v>10960071826</v>
      </c>
      <c r="F539" s="7" t="str">
        <f t="shared" si="25"/>
        <v>18</v>
      </c>
      <c r="G539" s="7" t="str">
        <f>"26"</f>
        <v>26</v>
      </c>
      <c r="H539" s="7" t="s">
        <v>13</v>
      </c>
      <c r="I539" s="7" t="s">
        <v>14</v>
      </c>
      <c r="J539" s="9"/>
    </row>
    <row r="540" ht="14.25" spans="1:10">
      <c r="A540" s="7" t="s">
        <v>492</v>
      </c>
      <c r="B540" s="7" t="s">
        <v>551</v>
      </c>
      <c r="C540" s="7" t="str">
        <f t="shared" si="26"/>
        <v>男</v>
      </c>
      <c r="D540" s="7" t="str">
        <f>"411302199505175410"</f>
        <v>411302199505175410</v>
      </c>
      <c r="E540" s="8" t="str">
        <f>"10960071827"</f>
        <v>10960071827</v>
      </c>
      <c r="F540" s="7" t="str">
        <f t="shared" si="25"/>
        <v>18</v>
      </c>
      <c r="G540" s="7" t="str">
        <f>"27"</f>
        <v>27</v>
      </c>
      <c r="H540" s="7" t="s">
        <v>13</v>
      </c>
      <c r="I540" s="7">
        <v>61.2</v>
      </c>
      <c r="J540" s="9"/>
    </row>
    <row r="541" ht="14.25" spans="1:10">
      <c r="A541" s="7" t="s">
        <v>492</v>
      </c>
      <c r="B541" s="7" t="s">
        <v>552</v>
      </c>
      <c r="C541" s="7" t="str">
        <f t="shared" si="26"/>
        <v>男</v>
      </c>
      <c r="D541" s="7" t="str">
        <f>"411303199408061530"</f>
        <v>411303199408061530</v>
      </c>
      <c r="E541" s="8" t="str">
        <f>"10960071828"</f>
        <v>10960071828</v>
      </c>
      <c r="F541" s="7" t="str">
        <f t="shared" si="25"/>
        <v>18</v>
      </c>
      <c r="G541" s="7" t="str">
        <f>"28"</f>
        <v>28</v>
      </c>
      <c r="H541" s="7" t="s">
        <v>13</v>
      </c>
      <c r="I541" s="7">
        <v>73.8</v>
      </c>
      <c r="J541" s="9"/>
    </row>
    <row r="542" ht="14.25" spans="1:10">
      <c r="A542" s="7" t="s">
        <v>492</v>
      </c>
      <c r="B542" s="7" t="s">
        <v>553</v>
      </c>
      <c r="C542" s="7" t="str">
        <f t="shared" si="26"/>
        <v>男</v>
      </c>
      <c r="D542" s="7" t="str">
        <f>"411325199703020019"</f>
        <v>411325199703020019</v>
      </c>
      <c r="E542" s="8" t="str">
        <f>"10960071829"</f>
        <v>10960071829</v>
      </c>
      <c r="F542" s="7" t="str">
        <f t="shared" si="25"/>
        <v>18</v>
      </c>
      <c r="G542" s="7" t="str">
        <f>"29"</f>
        <v>29</v>
      </c>
      <c r="H542" s="7" t="s">
        <v>13</v>
      </c>
      <c r="I542" s="7" t="s">
        <v>14</v>
      </c>
      <c r="J542" s="9"/>
    </row>
    <row r="543" ht="14.25" spans="1:10">
      <c r="A543" s="7" t="s">
        <v>492</v>
      </c>
      <c r="B543" s="7" t="s">
        <v>554</v>
      </c>
      <c r="C543" s="7" t="str">
        <f t="shared" si="26"/>
        <v>女</v>
      </c>
      <c r="D543" s="7" t="str">
        <f>"130133199601110022"</f>
        <v>130133199601110022</v>
      </c>
      <c r="E543" s="8" t="str">
        <f>"10960071830"</f>
        <v>10960071830</v>
      </c>
      <c r="F543" s="7" t="str">
        <f t="shared" si="25"/>
        <v>18</v>
      </c>
      <c r="G543" s="7" t="str">
        <f>"30"</f>
        <v>30</v>
      </c>
      <c r="H543" s="7" t="s">
        <v>45</v>
      </c>
      <c r="I543" s="7" t="s">
        <v>14</v>
      </c>
      <c r="J543" s="9"/>
    </row>
    <row r="544" ht="14.25" spans="1:10">
      <c r="A544" s="7" t="s">
        <v>492</v>
      </c>
      <c r="B544" s="7" t="s">
        <v>555</v>
      </c>
      <c r="C544" s="7" t="str">
        <f t="shared" si="26"/>
        <v>女</v>
      </c>
      <c r="D544" s="7" t="str">
        <f>"411302199107063149"</f>
        <v>411302199107063149</v>
      </c>
      <c r="E544" s="8" t="str">
        <f>"10960071901"</f>
        <v>10960071901</v>
      </c>
      <c r="F544" s="7" t="str">
        <f t="shared" ref="F544:F573" si="27">"19"</f>
        <v>19</v>
      </c>
      <c r="G544" s="7" t="str">
        <f>"01"</f>
        <v>01</v>
      </c>
      <c r="H544" s="7" t="s">
        <v>45</v>
      </c>
      <c r="I544" s="7">
        <v>56.1</v>
      </c>
      <c r="J544" s="9"/>
    </row>
    <row r="545" ht="14.25" spans="1:10">
      <c r="A545" s="7" t="s">
        <v>492</v>
      </c>
      <c r="B545" s="7" t="s">
        <v>556</v>
      </c>
      <c r="C545" s="7" t="str">
        <f t="shared" si="26"/>
        <v>男</v>
      </c>
      <c r="D545" s="7" t="str">
        <f>"411325199203276050"</f>
        <v>411325199203276050</v>
      </c>
      <c r="E545" s="8" t="str">
        <f>"10960071902"</f>
        <v>10960071902</v>
      </c>
      <c r="F545" s="7" t="str">
        <f t="shared" si="27"/>
        <v>19</v>
      </c>
      <c r="G545" s="7" t="str">
        <f>"02"</f>
        <v>02</v>
      </c>
      <c r="H545" s="7" t="s">
        <v>45</v>
      </c>
      <c r="I545" s="7">
        <v>50.2</v>
      </c>
      <c r="J545" s="9"/>
    </row>
    <row r="546" ht="14.25" spans="1:10">
      <c r="A546" s="7" t="s">
        <v>492</v>
      </c>
      <c r="B546" s="7" t="s">
        <v>557</v>
      </c>
      <c r="C546" s="7" t="str">
        <f t="shared" si="26"/>
        <v>男</v>
      </c>
      <c r="D546" s="7" t="str">
        <f>"41132219980102003X"</f>
        <v>41132219980102003X</v>
      </c>
      <c r="E546" s="8" t="str">
        <f>"10960071903"</f>
        <v>10960071903</v>
      </c>
      <c r="F546" s="7" t="str">
        <f t="shared" si="27"/>
        <v>19</v>
      </c>
      <c r="G546" s="7" t="str">
        <f>"03"</f>
        <v>03</v>
      </c>
      <c r="H546" s="7" t="s">
        <v>45</v>
      </c>
      <c r="I546" s="7">
        <v>63.1</v>
      </c>
      <c r="J546" s="9"/>
    </row>
    <row r="547" ht="14.25" spans="1:10">
      <c r="A547" s="7" t="s">
        <v>492</v>
      </c>
      <c r="B547" s="7" t="s">
        <v>558</v>
      </c>
      <c r="C547" s="7" t="str">
        <f t="shared" si="26"/>
        <v>男</v>
      </c>
      <c r="D547" s="7" t="str">
        <f>"411328199004210058"</f>
        <v>411328199004210058</v>
      </c>
      <c r="E547" s="8" t="str">
        <f>"10960071904"</f>
        <v>10960071904</v>
      </c>
      <c r="F547" s="7" t="str">
        <f t="shared" si="27"/>
        <v>19</v>
      </c>
      <c r="G547" s="7" t="str">
        <f>"04"</f>
        <v>04</v>
      </c>
      <c r="H547" s="7" t="s">
        <v>45</v>
      </c>
      <c r="I547" s="7" t="s">
        <v>14</v>
      </c>
      <c r="J547" s="9"/>
    </row>
    <row r="548" ht="14.25" spans="1:10">
      <c r="A548" s="7" t="s">
        <v>492</v>
      </c>
      <c r="B548" s="7" t="s">
        <v>559</v>
      </c>
      <c r="C548" s="7" t="str">
        <f t="shared" si="26"/>
        <v>男</v>
      </c>
      <c r="D548" s="7" t="str">
        <f>"411323199503153412"</f>
        <v>411323199503153412</v>
      </c>
      <c r="E548" s="8" t="str">
        <f>"10960071905"</f>
        <v>10960071905</v>
      </c>
      <c r="F548" s="7" t="str">
        <f t="shared" si="27"/>
        <v>19</v>
      </c>
      <c r="G548" s="7" t="str">
        <f>"05"</f>
        <v>05</v>
      </c>
      <c r="H548" s="7" t="s">
        <v>45</v>
      </c>
      <c r="I548" s="7">
        <v>69.3</v>
      </c>
      <c r="J548" s="9"/>
    </row>
    <row r="549" ht="14.25" spans="1:10">
      <c r="A549" s="7" t="s">
        <v>492</v>
      </c>
      <c r="B549" s="7" t="s">
        <v>560</v>
      </c>
      <c r="C549" s="7" t="str">
        <f t="shared" si="26"/>
        <v>男</v>
      </c>
      <c r="D549" s="7" t="str">
        <f>"410804199509020036"</f>
        <v>410804199509020036</v>
      </c>
      <c r="E549" s="8" t="str">
        <f>"10960071906"</f>
        <v>10960071906</v>
      </c>
      <c r="F549" s="7" t="str">
        <f t="shared" si="27"/>
        <v>19</v>
      </c>
      <c r="G549" s="7" t="str">
        <f>"06"</f>
        <v>06</v>
      </c>
      <c r="H549" s="7" t="s">
        <v>45</v>
      </c>
      <c r="I549" s="7" t="s">
        <v>14</v>
      </c>
      <c r="J549" s="9"/>
    </row>
    <row r="550" ht="14.25" spans="1:10">
      <c r="A550" s="7" t="s">
        <v>492</v>
      </c>
      <c r="B550" s="7" t="s">
        <v>561</v>
      </c>
      <c r="C550" s="7" t="str">
        <f t="shared" si="26"/>
        <v>男</v>
      </c>
      <c r="D550" s="7" t="str">
        <f>"411327199704112030"</f>
        <v>411327199704112030</v>
      </c>
      <c r="E550" s="8" t="str">
        <f>"10960071907"</f>
        <v>10960071907</v>
      </c>
      <c r="F550" s="7" t="str">
        <f t="shared" si="27"/>
        <v>19</v>
      </c>
      <c r="G550" s="7" t="str">
        <f>"07"</f>
        <v>07</v>
      </c>
      <c r="H550" s="7" t="s">
        <v>45</v>
      </c>
      <c r="I550" s="7">
        <v>67.7</v>
      </c>
      <c r="J550" s="9"/>
    </row>
    <row r="551" ht="14.25" spans="1:10">
      <c r="A551" s="7" t="s">
        <v>492</v>
      </c>
      <c r="B551" s="7" t="s">
        <v>562</v>
      </c>
      <c r="C551" s="7" t="str">
        <f t="shared" si="26"/>
        <v>男</v>
      </c>
      <c r="D551" s="7" t="str">
        <f>"411329199502042217"</f>
        <v>411329199502042217</v>
      </c>
      <c r="E551" s="8" t="str">
        <f>"10960071908"</f>
        <v>10960071908</v>
      </c>
      <c r="F551" s="7" t="str">
        <f t="shared" si="27"/>
        <v>19</v>
      </c>
      <c r="G551" s="7" t="str">
        <f>"08"</f>
        <v>08</v>
      </c>
      <c r="H551" s="7" t="s">
        <v>45</v>
      </c>
      <c r="I551" s="7" t="s">
        <v>14</v>
      </c>
      <c r="J551" s="9"/>
    </row>
    <row r="552" ht="14.25" spans="1:10">
      <c r="A552" s="7" t="s">
        <v>492</v>
      </c>
      <c r="B552" s="7" t="s">
        <v>563</v>
      </c>
      <c r="C552" s="7" t="str">
        <f t="shared" si="26"/>
        <v>女</v>
      </c>
      <c r="D552" s="7" t="str">
        <f>"411302199401183424"</f>
        <v>411302199401183424</v>
      </c>
      <c r="E552" s="8" t="str">
        <f>"10960071909"</f>
        <v>10960071909</v>
      </c>
      <c r="F552" s="7" t="str">
        <f t="shared" si="27"/>
        <v>19</v>
      </c>
      <c r="G552" s="7" t="str">
        <f>"09"</f>
        <v>09</v>
      </c>
      <c r="H552" s="7" t="s">
        <v>45</v>
      </c>
      <c r="I552" s="7">
        <v>62.5</v>
      </c>
      <c r="J552" s="9"/>
    </row>
    <row r="553" ht="14.25" spans="1:10">
      <c r="A553" s="7" t="s">
        <v>492</v>
      </c>
      <c r="B553" s="7" t="s">
        <v>564</v>
      </c>
      <c r="C553" s="7" t="str">
        <f t="shared" si="26"/>
        <v>男</v>
      </c>
      <c r="D553" s="7" t="str">
        <f>"411522199007152458"</f>
        <v>411522199007152458</v>
      </c>
      <c r="E553" s="8" t="str">
        <f>"10960071910"</f>
        <v>10960071910</v>
      </c>
      <c r="F553" s="7" t="str">
        <f t="shared" si="27"/>
        <v>19</v>
      </c>
      <c r="G553" s="7" t="str">
        <f>"10"</f>
        <v>10</v>
      </c>
      <c r="H553" s="7" t="s">
        <v>45</v>
      </c>
      <c r="I553" s="7">
        <v>69.5</v>
      </c>
      <c r="J553" s="9"/>
    </row>
    <row r="554" ht="14.25" spans="1:10">
      <c r="A554" s="7" t="s">
        <v>492</v>
      </c>
      <c r="B554" s="7" t="s">
        <v>565</v>
      </c>
      <c r="C554" s="7" t="str">
        <f t="shared" si="26"/>
        <v>男</v>
      </c>
      <c r="D554" s="7" t="str">
        <f>"411326199601012858"</f>
        <v>411326199601012858</v>
      </c>
      <c r="E554" s="8" t="str">
        <f>"10960071911"</f>
        <v>10960071911</v>
      </c>
      <c r="F554" s="7" t="str">
        <f t="shared" si="27"/>
        <v>19</v>
      </c>
      <c r="G554" s="7" t="str">
        <f>"11"</f>
        <v>11</v>
      </c>
      <c r="H554" s="7" t="s">
        <v>45</v>
      </c>
      <c r="I554" s="7" t="s">
        <v>14</v>
      </c>
      <c r="J554" s="9"/>
    </row>
    <row r="555" ht="14.25" spans="1:10">
      <c r="A555" s="7" t="s">
        <v>492</v>
      </c>
      <c r="B555" s="7" t="s">
        <v>271</v>
      </c>
      <c r="C555" s="7" t="str">
        <f t="shared" si="26"/>
        <v>男</v>
      </c>
      <c r="D555" s="7" t="str">
        <f>"411330199711231538"</f>
        <v>411330199711231538</v>
      </c>
      <c r="E555" s="8" t="str">
        <f>"10960071912"</f>
        <v>10960071912</v>
      </c>
      <c r="F555" s="7" t="str">
        <f t="shared" si="27"/>
        <v>19</v>
      </c>
      <c r="G555" s="7" t="str">
        <f>"12"</f>
        <v>12</v>
      </c>
      <c r="H555" s="7" t="s">
        <v>45</v>
      </c>
      <c r="I555" s="7" t="s">
        <v>14</v>
      </c>
      <c r="J555" s="9"/>
    </row>
    <row r="556" ht="14.25" spans="1:10">
      <c r="A556" s="7" t="s">
        <v>492</v>
      </c>
      <c r="B556" s="7" t="s">
        <v>566</v>
      </c>
      <c r="C556" s="7" t="str">
        <f t="shared" si="26"/>
        <v>男</v>
      </c>
      <c r="D556" s="7" t="str">
        <f>"411303199208060074"</f>
        <v>411303199208060074</v>
      </c>
      <c r="E556" s="8" t="str">
        <f>"10960071913"</f>
        <v>10960071913</v>
      </c>
      <c r="F556" s="7" t="str">
        <f t="shared" si="27"/>
        <v>19</v>
      </c>
      <c r="G556" s="7" t="str">
        <f>"13"</f>
        <v>13</v>
      </c>
      <c r="H556" s="7" t="s">
        <v>45</v>
      </c>
      <c r="I556" s="7" t="s">
        <v>14</v>
      </c>
      <c r="J556" s="9"/>
    </row>
    <row r="557" ht="14.25" spans="1:10">
      <c r="A557" s="7" t="s">
        <v>492</v>
      </c>
      <c r="B557" s="7" t="s">
        <v>567</v>
      </c>
      <c r="C557" s="7" t="str">
        <f t="shared" si="26"/>
        <v>男</v>
      </c>
      <c r="D557" s="7" t="str">
        <f>"412822199301026572"</f>
        <v>412822199301026572</v>
      </c>
      <c r="E557" s="8" t="str">
        <f>"10960071914"</f>
        <v>10960071914</v>
      </c>
      <c r="F557" s="7" t="str">
        <f t="shared" si="27"/>
        <v>19</v>
      </c>
      <c r="G557" s="7" t="str">
        <f>"14"</f>
        <v>14</v>
      </c>
      <c r="H557" s="7" t="s">
        <v>45</v>
      </c>
      <c r="I557" s="7" t="s">
        <v>14</v>
      </c>
      <c r="J557" s="9"/>
    </row>
    <row r="558" ht="14.25" spans="1:10">
      <c r="A558" s="7" t="s">
        <v>492</v>
      </c>
      <c r="B558" s="7" t="s">
        <v>568</v>
      </c>
      <c r="C558" s="7" t="str">
        <f t="shared" si="26"/>
        <v>男</v>
      </c>
      <c r="D558" s="7" t="str">
        <f>"411323199608090016"</f>
        <v>411323199608090016</v>
      </c>
      <c r="E558" s="8" t="str">
        <f>"10960071915"</f>
        <v>10960071915</v>
      </c>
      <c r="F558" s="7" t="str">
        <f t="shared" si="27"/>
        <v>19</v>
      </c>
      <c r="G558" s="7" t="str">
        <f>"15"</f>
        <v>15</v>
      </c>
      <c r="H558" s="7" t="s">
        <v>45</v>
      </c>
      <c r="I558" s="7">
        <v>56</v>
      </c>
      <c r="J558" s="9"/>
    </row>
    <row r="559" ht="14.25" spans="1:10">
      <c r="A559" s="7" t="s">
        <v>492</v>
      </c>
      <c r="B559" s="7" t="s">
        <v>569</v>
      </c>
      <c r="C559" s="7" t="str">
        <f t="shared" si="26"/>
        <v>女</v>
      </c>
      <c r="D559" s="7" t="str">
        <f>"410922199204230065"</f>
        <v>410922199204230065</v>
      </c>
      <c r="E559" s="8" t="str">
        <f>"10960071916"</f>
        <v>10960071916</v>
      </c>
      <c r="F559" s="7" t="str">
        <f t="shared" si="27"/>
        <v>19</v>
      </c>
      <c r="G559" s="7" t="str">
        <f>"16"</f>
        <v>16</v>
      </c>
      <c r="H559" s="7" t="s">
        <v>45</v>
      </c>
      <c r="I559" s="7">
        <v>64.4</v>
      </c>
      <c r="J559" s="9"/>
    </row>
    <row r="560" ht="14.25" spans="1:10">
      <c r="A560" s="7" t="s">
        <v>492</v>
      </c>
      <c r="B560" s="7" t="s">
        <v>570</v>
      </c>
      <c r="C560" s="7" t="str">
        <f t="shared" si="26"/>
        <v>男</v>
      </c>
      <c r="D560" s="7" t="str">
        <f>"412801199604250051"</f>
        <v>412801199604250051</v>
      </c>
      <c r="E560" s="8" t="str">
        <f>"10960071917"</f>
        <v>10960071917</v>
      </c>
      <c r="F560" s="7" t="str">
        <f t="shared" si="27"/>
        <v>19</v>
      </c>
      <c r="G560" s="7" t="str">
        <f>"17"</f>
        <v>17</v>
      </c>
      <c r="H560" s="7" t="s">
        <v>45</v>
      </c>
      <c r="I560" s="7">
        <v>70.7</v>
      </c>
      <c r="J560" s="9"/>
    </row>
    <row r="561" ht="14.25" spans="1:10">
      <c r="A561" s="7" t="s">
        <v>492</v>
      </c>
      <c r="B561" s="7" t="s">
        <v>571</v>
      </c>
      <c r="C561" s="7" t="str">
        <f t="shared" si="26"/>
        <v>男</v>
      </c>
      <c r="D561" s="7" t="str">
        <f>"411322199601015754"</f>
        <v>411322199601015754</v>
      </c>
      <c r="E561" s="8" t="str">
        <f>"10960071918"</f>
        <v>10960071918</v>
      </c>
      <c r="F561" s="7" t="str">
        <f t="shared" si="27"/>
        <v>19</v>
      </c>
      <c r="G561" s="7" t="str">
        <f>"18"</f>
        <v>18</v>
      </c>
      <c r="H561" s="7" t="s">
        <v>45</v>
      </c>
      <c r="I561" s="7" t="s">
        <v>14</v>
      </c>
      <c r="J561" s="9"/>
    </row>
    <row r="562" ht="14.25" spans="1:10">
      <c r="A562" s="7" t="s">
        <v>492</v>
      </c>
      <c r="B562" s="7" t="s">
        <v>572</v>
      </c>
      <c r="C562" s="7" t="str">
        <f t="shared" si="26"/>
        <v>男</v>
      </c>
      <c r="D562" s="7" t="str">
        <f>"411328199205172131"</f>
        <v>411328199205172131</v>
      </c>
      <c r="E562" s="8" t="str">
        <f>"10960071919"</f>
        <v>10960071919</v>
      </c>
      <c r="F562" s="7" t="str">
        <f t="shared" si="27"/>
        <v>19</v>
      </c>
      <c r="G562" s="7" t="str">
        <f>"19"</f>
        <v>19</v>
      </c>
      <c r="H562" s="7" t="s">
        <v>45</v>
      </c>
      <c r="I562" s="7">
        <v>65.4</v>
      </c>
      <c r="J562" s="9"/>
    </row>
    <row r="563" ht="14.25" spans="1:10">
      <c r="A563" s="7" t="s">
        <v>492</v>
      </c>
      <c r="B563" s="7" t="s">
        <v>573</v>
      </c>
      <c r="C563" s="7" t="str">
        <f t="shared" si="26"/>
        <v>男</v>
      </c>
      <c r="D563" s="7" t="str">
        <f>"412828199212096315"</f>
        <v>412828199212096315</v>
      </c>
      <c r="E563" s="8" t="str">
        <f>"10960071920"</f>
        <v>10960071920</v>
      </c>
      <c r="F563" s="7" t="str">
        <f t="shared" si="27"/>
        <v>19</v>
      </c>
      <c r="G563" s="7" t="str">
        <f>"20"</f>
        <v>20</v>
      </c>
      <c r="H563" s="7" t="s">
        <v>45</v>
      </c>
      <c r="I563" s="7">
        <v>63.7</v>
      </c>
      <c r="J563" s="9"/>
    </row>
    <row r="564" ht="14.25" spans="1:10">
      <c r="A564" s="7" t="s">
        <v>492</v>
      </c>
      <c r="B564" s="7" t="s">
        <v>574</v>
      </c>
      <c r="C564" s="7" t="str">
        <f t="shared" si="26"/>
        <v>男</v>
      </c>
      <c r="D564" s="7" t="str">
        <f>"411325199403198210"</f>
        <v>411325199403198210</v>
      </c>
      <c r="E564" s="8" t="str">
        <f>"10960071921"</f>
        <v>10960071921</v>
      </c>
      <c r="F564" s="7" t="str">
        <f t="shared" si="27"/>
        <v>19</v>
      </c>
      <c r="G564" s="7" t="str">
        <f>"21"</f>
        <v>21</v>
      </c>
      <c r="H564" s="7" t="s">
        <v>45</v>
      </c>
      <c r="I564" s="7" t="s">
        <v>14</v>
      </c>
      <c r="J564" s="9"/>
    </row>
    <row r="565" ht="14.25" spans="1:10">
      <c r="A565" s="7" t="s">
        <v>492</v>
      </c>
      <c r="B565" s="7" t="s">
        <v>575</v>
      </c>
      <c r="C565" s="7" t="str">
        <f t="shared" si="26"/>
        <v>男</v>
      </c>
      <c r="D565" s="7" t="str">
        <f>"411302199512241332"</f>
        <v>411302199512241332</v>
      </c>
      <c r="E565" s="8" t="str">
        <f>"10960071922"</f>
        <v>10960071922</v>
      </c>
      <c r="F565" s="7" t="str">
        <f t="shared" si="27"/>
        <v>19</v>
      </c>
      <c r="G565" s="7" t="str">
        <f>"22"</f>
        <v>22</v>
      </c>
      <c r="H565" s="7" t="s">
        <v>45</v>
      </c>
      <c r="I565" s="7">
        <v>71.1</v>
      </c>
      <c r="J565" s="9"/>
    </row>
    <row r="566" ht="14.25" spans="1:10">
      <c r="A566" s="7" t="s">
        <v>492</v>
      </c>
      <c r="B566" s="7" t="s">
        <v>576</v>
      </c>
      <c r="C566" s="7" t="str">
        <f t="shared" si="26"/>
        <v>男</v>
      </c>
      <c r="D566" s="7" t="str">
        <f>"411381199701023516"</f>
        <v>411381199701023516</v>
      </c>
      <c r="E566" s="8" t="str">
        <f>"10960071923"</f>
        <v>10960071923</v>
      </c>
      <c r="F566" s="7" t="str">
        <f t="shared" si="27"/>
        <v>19</v>
      </c>
      <c r="G566" s="7" t="str">
        <f>"23"</f>
        <v>23</v>
      </c>
      <c r="H566" s="7" t="s">
        <v>45</v>
      </c>
      <c r="I566" s="7">
        <v>52.4</v>
      </c>
      <c r="J566" s="9"/>
    </row>
    <row r="567" ht="14.25" spans="1:10">
      <c r="A567" s="7" t="s">
        <v>492</v>
      </c>
      <c r="B567" s="7" t="s">
        <v>577</v>
      </c>
      <c r="C567" s="7" t="str">
        <f t="shared" si="26"/>
        <v>男</v>
      </c>
      <c r="D567" s="7" t="str">
        <f>"41040219950916561X"</f>
        <v>41040219950916561X</v>
      </c>
      <c r="E567" s="8" t="str">
        <f>"10960071924"</f>
        <v>10960071924</v>
      </c>
      <c r="F567" s="7" t="str">
        <f t="shared" si="27"/>
        <v>19</v>
      </c>
      <c r="G567" s="7" t="str">
        <f>"24"</f>
        <v>24</v>
      </c>
      <c r="H567" s="7" t="s">
        <v>45</v>
      </c>
      <c r="I567" s="7" t="s">
        <v>14</v>
      </c>
      <c r="J567" s="9"/>
    </row>
    <row r="568" ht="14.25" spans="1:10">
      <c r="A568" s="7" t="s">
        <v>492</v>
      </c>
      <c r="B568" s="7" t="s">
        <v>578</v>
      </c>
      <c r="C568" s="7" t="str">
        <f t="shared" si="26"/>
        <v>男</v>
      </c>
      <c r="D568" s="7" t="str">
        <f>"612524199412120012"</f>
        <v>612524199412120012</v>
      </c>
      <c r="E568" s="8" t="str">
        <f>"10960071925"</f>
        <v>10960071925</v>
      </c>
      <c r="F568" s="7" t="str">
        <f t="shared" si="27"/>
        <v>19</v>
      </c>
      <c r="G568" s="7" t="str">
        <f>"25"</f>
        <v>25</v>
      </c>
      <c r="H568" s="7" t="s">
        <v>45</v>
      </c>
      <c r="I568" s="7" t="s">
        <v>14</v>
      </c>
      <c r="J568" s="9"/>
    </row>
    <row r="569" ht="14.25" spans="1:10">
      <c r="A569" s="7" t="s">
        <v>492</v>
      </c>
      <c r="B569" s="7" t="s">
        <v>579</v>
      </c>
      <c r="C569" s="7" t="str">
        <f t="shared" si="26"/>
        <v>男</v>
      </c>
      <c r="D569" s="7" t="str">
        <f>"412702199303046533"</f>
        <v>412702199303046533</v>
      </c>
      <c r="E569" s="8" t="str">
        <f>"10960071926"</f>
        <v>10960071926</v>
      </c>
      <c r="F569" s="7" t="str">
        <f t="shared" si="27"/>
        <v>19</v>
      </c>
      <c r="G569" s="7" t="str">
        <f>"26"</f>
        <v>26</v>
      </c>
      <c r="H569" s="7" t="s">
        <v>45</v>
      </c>
      <c r="I569" s="7" t="s">
        <v>14</v>
      </c>
      <c r="J569" s="9"/>
    </row>
    <row r="570" ht="14.25" spans="1:10">
      <c r="A570" s="7" t="s">
        <v>492</v>
      </c>
      <c r="B570" s="7" t="s">
        <v>580</v>
      </c>
      <c r="C570" s="7" t="str">
        <f t="shared" si="26"/>
        <v>男</v>
      </c>
      <c r="D570" s="7" t="str">
        <f>"411325199808140017"</f>
        <v>411325199808140017</v>
      </c>
      <c r="E570" s="8" t="str">
        <f>"10960071927"</f>
        <v>10960071927</v>
      </c>
      <c r="F570" s="7" t="str">
        <f t="shared" si="27"/>
        <v>19</v>
      </c>
      <c r="G570" s="7" t="str">
        <f>"27"</f>
        <v>27</v>
      </c>
      <c r="H570" s="7" t="s">
        <v>45</v>
      </c>
      <c r="I570" s="7">
        <v>60.4</v>
      </c>
      <c r="J570" s="9"/>
    </row>
    <row r="571" ht="14.25" spans="1:10">
      <c r="A571" s="7" t="s">
        <v>492</v>
      </c>
      <c r="B571" s="7" t="s">
        <v>581</v>
      </c>
      <c r="C571" s="7" t="str">
        <f t="shared" si="26"/>
        <v>男</v>
      </c>
      <c r="D571" s="7" t="str">
        <f>"411324199303081115"</f>
        <v>411324199303081115</v>
      </c>
      <c r="E571" s="8" t="str">
        <f>"10960071928"</f>
        <v>10960071928</v>
      </c>
      <c r="F571" s="7" t="str">
        <f t="shared" si="27"/>
        <v>19</v>
      </c>
      <c r="G571" s="7" t="str">
        <f>"28"</f>
        <v>28</v>
      </c>
      <c r="H571" s="7" t="s">
        <v>45</v>
      </c>
      <c r="I571" s="7">
        <v>59.4</v>
      </c>
      <c r="J571" s="9"/>
    </row>
    <row r="572" ht="14.25" spans="1:10">
      <c r="A572" s="7" t="s">
        <v>492</v>
      </c>
      <c r="B572" s="7" t="s">
        <v>582</v>
      </c>
      <c r="C572" s="7" t="str">
        <f t="shared" si="26"/>
        <v>女</v>
      </c>
      <c r="D572" s="7" t="str">
        <f>"410504199706245000"</f>
        <v>410504199706245000</v>
      </c>
      <c r="E572" s="8" t="str">
        <f>"10960071929"</f>
        <v>10960071929</v>
      </c>
      <c r="F572" s="7" t="str">
        <f t="shared" si="27"/>
        <v>19</v>
      </c>
      <c r="G572" s="7" t="str">
        <f>"29"</f>
        <v>29</v>
      </c>
      <c r="H572" s="7" t="s">
        <v>45</v>
      </c>
      <c r="I572" s="7" t="s">
        <v>14</v>
      </c>
      <c r="J572" s="9"/>
    </row>
    <row r="573" ht="14.25" spans="1:10">
      <c r="A573" s="7" t="s">
        <v>492</v>
      </c>
      <c r="B573" s="7" t="s">
        <v>583</v>
      </c>
      <c r="C573" s="7" t="str">
        <f t="shared" si="26"/>
        <v>男</v>
      </c>
      <c r="D573" s="7" t="str">
        <f>"410401199502050012"</f>
        <v>410401199502050012</v>
      </c>
      <c r="E573" s="8" t="str">
        <f>"10960071930"</f>
        <v>10960071930</v>
      </c>
      <c r="F573" s="7" t="str">
        <f t="shared" si="27"/>
        <v>19</v>
      </c>
      <c r="G573" s="7" t="str">
        <f>"30"</f>
        <v>30</v>
      </c>
      <c r="H573" s="7" t="s">
        <v>45</v>
      </c>
      <c r="I573" s="7" t="s">
        <v>14</v>
      </c>
      <c r="J573" s="9"/>
    </row>
    <row r="574" ht="14.25" spans="1:10">
      <c r="A574" s="7" t="s">
        <v>492</v>
      </c>
      <c r="B574" s="7" t="s">
        <v>584</v>
      </c>
      <c r="C574" s="7" t="str">
        <f t="shared" si="26"/>
        <v>女</v>
      </c>
      <c r="D574" s="7" t="str">
        <f>"411325199606120421"</f>
        <v>411325199606120421</v>
      </c>
      <c r="E574" s="8" t="str">
        <f>"10960072001"</f>
        <v>10960072001</v>
      </c>
      <c r="F574" s="7" t="str">
        <f t="shared" ref="F574:F603" si="28">"20"</f>
        <v>20</v>
      </c>
      <c r="G574" s="7" t="str">
        <f>"01"</f>
        <v>01</v>
      </c>
      <c r="H574" s="7" t="s">
        <v>45</v>
      </c>
      <c r="I574" s="7">
        <v>53.6</v>
      </c>
      <c r="J574" s="9"/>
    </row>
    <row r="575" ht="14.25" spans="1:10">
      <c r="A575" s="7" t="s">
        <v>492</v>
      </c>
      <c r="B575" s="7" t="s">
        <v>585</v>
      </c>
      <c r="C575" s="7" t="str">
        <f t="shared" si="26"/>
        <v>女</v>
      </c>
      <c r="D575" s="7" t="str">
        <f>"411321199010200329"</f>
        <v>411321199010200329</v>
      </c>
      <c r="E575" s="8" t="str">
        <f>"10960072002"</f>
        <v>10960072002</v>
      </c>
      <c r="F575" s="7" t="str">
        <f t="shared" si="28"/>
        <v>20</v>
      </c>
      <c r="G575" s="7" t="str">
        <f>"02"</f>
        <v>02</v>
      </c>
      <c r="H575" s="7" t="s">
        <v>45</v>
      </c>
      <c r="I575" s="7">
        <v>68.5</v>
      </c>
      <c r="J575" s="9"/>
    </row>
    <row r="576" ht="14.25" spans="1:10">
      <c r="A576" s="7" t="s">
        <v>492</v>
      </c>
      <c r="B576" s="7" t="s">
        <v>586</v>
      </c>
      <c r="C576" s="7" t="str">
        <f t="shared" si="26"/>
        <v>男</v>
      </c>
      <c r="D576" s="7" t="str">
        <f>"411325199306012912"</f>
        <v>411325199306012912</v>
      </c>
      <c r="E576" s="8" t="str">
        <f>"10960072003"</f>
        <v>10960072003</v>
      </c>
      <c r="F576" s="7" t="str">
        <f t="shared" si="28"/>
        <v>20</v>
      </c>
      <c r="G576" s="7" t="str">
        <f>"03"</f>
        <v>03</v>
      </c>
      <c r="H576" s="7" t="s">
        <v>45</v>
      </c>
      <c r="I576" s="7" t="s">
        <v>14</v>
      </c>
      <c r="J576" s="9"/>
    </row>
    <row r="577" ht="14.25" spans="1:10">
      <c r="A577" s="7" t="s">
        <v>492</v>
      </c>
      <c r="B577" s="7" t="s">
        <v>587</v>
      </c>
      <c r="C577" s="7" t="str">
        <f t="shared" si="26"/>
        <v>女</v>
      </c>
      <c r="D577" s="7" t="str">
        <f>"411321199404080024"</f>
        <v>411321199404080024</v>
      </c>
      <c r="E577" s="8" t="str">
        <f>"10960072004"</f>
        <v>10960072004</v>
      </c>
      <c r="F577" s="7" t="str">
        <f t="shared" si="28"/>
        <v>20</v>
      </c>
      <c r="G577" s="7" t="str">
        <f>"04"</f>
        <v>04</v>
      </c>
      <c r="H577" s="7" t="s">
        <v>45</v>
      </c>
      <c r="I577" s="7" t="s">
        <v>14</v>
      </c>
      <c r="J577" s="9"/>
    </row>
    <row r="578" ht="14.25" spans="1:10">
      <c r="A578" s="7" t="s">
        <v>492</v>
      </c>
      <c r="B578" s="7" t="s">
        <v>588</v>
      </c>
      <c r="C578" s="7" t="str">
        <f t="shared" si="26"/>
        <v>女</v>
      </c>
      <c r="D578" s="7" t="str">
        <f>"411324199612300027"</f>
        <v>411324199612300027</v>
      </c>
      <c r="E578" s="8" t="str">
        <f>"10960072005"</f>
        <v>10960072005</v>
      </c>
      <c r="F578" s="7" t="str">
        <f t="shared" si="28"/>
        <v>20</v>
      </c>
      <c r="G578" s="7" t="str">
        <f>"05"</f>
        <v>05</v>
      </c>
      <c r="H578" s="7" t="s">
        <v>45</v>
      </c>
      <c r="I578" s="7" t="s">
        <v>14</v>
      </c>
      <c r="J578" s="9"/>
    </row>
    <row r="579" ht="14.25" spans="1:10">
      <c r="A579" s="7" t="s">
        <v>492</v>
      </c>
      <c r="B579" s="7" t="s">
        <v>589</v>
      </c>
      <c r="C579" s="7" t="str">
        <f t="shared" si="26"/>
        <v>女</v>
      </c>
      <c r="D579" s="7" t="str">
        <f>"41130219930218232X"</f>
        <v>41130219930218232X</v>
      </c>
      <c r="E579" s="8" t="str">
        <f>"10960072006"</f>
        <v>10960072006</v>
      </c>
      <c r="F579" s="7" t="str">
        <f t="shared" si="28"/>
        <v>20</v>
      </c>
      <c r="G579" s="7" t="str">
        <f>"06"</f>
        <v>06</v>
      </c>
      <c r="H579" s="7" t="s">
        <v>45</v>
      </c>
      <c r="I579" s="7" t="s">
        <v>14</v>
      </c>
      <c r="J579" s="9"/>
    </row>
    <row r="580" ht="14.25" spans="1:10">
      <c r="A580" s="7" t="s">
        <v>492</v>
      </c>
      <c r="B580" s="7" t="s">
        <v>590</v>
      </c>
      <c r="C580" s="7" t="str">
        <f t="shared" ref="C580:C643" si="29">IF(MOD(MID(D580,17,1),2),"男","女")</f>
        <v>女</v>
      </c>
      <c r="D580" s="7" t="str">
        <f>"412822199407112188"</f>
        <v>412822199407112188</v>
      </c>
      <c r="E580" s="8" t="str">
        <f>"10960072007"</f>
        <v>10960072007</v>
      </c>
      <c r="F580" s="7" t="str">
        <f t="shared" si="28"/>
        <v>20</v>
      </c>
      <c r="G580" s="7" t="str">
        <f>"07"</f>
        <v>07</v>
      </c>
      <c r="H580" s="7" t="s">
        <v>45</v>
      </c>
      <c r="I580" s="7" t="s">
        <v>14</v>
      </c>
      <c r="J580" s="9"/>
    </row>
    <row r="581" ht="14.25" spans="1:10">
      <c r="A581" s="7" t="s">
        <v>492</v>
      </c>
      <c r="B581" s="7" t="s">
        <v>591</v>
      </c>
      <c r="C581" s="7" t="str">
        <f t="shared" si="29"/>
        <v>男</v>
      </c>
      <c r="D581" s="7" t="str">
        <f>"410102199311110174"</f>
        <v>410102199311110174</v>
      </c>
      <c r="E581" s="8" t="str">
        <f>"10960072008"</f>
        <v>10960072008</v>
      </c>
      <c r="F581" s="7" t="str">
        <f t="shared" si="28"/>
        <v>20</v>
      </c>
      <c r="G581" s="7" t="str">
        <f>"08"</f>
        <v>08</v>
      </c>
      <c r="H581" s="7" t="s">
        <v>45</v>
      </c>
      <c r="I581" s="7">
        <v>77</v>
      </c>
      <c r="J581" s="9"/>
    </row>
    <row r="582" ht="14.25" spans="1:10">
      <c r="A582" s="7" t="s">
        <v>492</v>
      </c>
      <c r="B582" s="7" t="s">
        <v>592</v>
      </c>
      <c r="C582" s="7" t="str">
        <f t="shared" si="29"/>
        <v>女</v>
      </c>
      <c r="D582" s="7" t="str">
        <f>"412827199210202069"</f>
        <v>412827199210202069</v>
      </c>
      <c r="E582" s="8" t="str">
        <f>"10960072009"</f>
        <v>10960072009</v>
      </c>
      <c r="F582" s="7" t="str">
        <f t="shared" si="28"/>
        <v>20</v>
      </c>
      <c r="G582" s="7" t="str">
        <f>"09"</f>
        <v>09</v>
      </c>
      <c r="H582" s="7" t="s">
        <v>45</v>
      </c>
      <c r="I582" s="7">
        <v>68.9</v>
      </c>
      <c r="J582" s="9"/>
    </row>
    <row r="583" ht="14.25" spans="1:10">
      <c r="A583" s="7" t="s">
        <v>492</v>
      </c>
      <c r="B583" s="7" t="s">
        <v>593</v>
      </c>
      <c r="C583" s="7" t="str">
        <f t="shared" si="29"/>
        <v>男</v>
      </c>
      <c r="D583" s="7" t="str">
        <f>"411381199308207634"</f>
        <v>411381199308207634</v>
      </c>
      <c r="E583" s="8" t="str">
        <f>"10960072010"</f>
        <v>10960072010</v>
      </c>
      <c r="F583" s="7" t="str">
        <f t="shared" si="28"/>
        <v>20</v>
      </c>
      <c r="G583" s="7" t="str">
        <f>"10"</f>
        <v>10</v>
      </c>
      <c r="H583" s="7" t="s">
        <v>45</v>
      </c>
      <c r="I583" s="7" t="s">
        <v>14</v>
      </c>
      <c r="J583" s="9"/>
    </row>
    <row r="584" ht="14.25" spans="1:10">
      <c r="A584" s="7" t="s">
        <v>492</v>
      </c>
      <c r="B584" s="7" t="s">
        <v>594</v>
      </c>
      <c r="C584" s="7" t="str">
        <f t="shared" si="29"/>
        <v>男</v>
      </c>
      <c r="D584" s="7" t="str">
        <f>"41130319900702005X"</f>
        <v>41130319900702005X</v>
      </c>
      <c r="E584" s="8" t="str">
        <f>"10960072011"</f>
        <v>10960072011</v>
      </c>
      <c r="F584" s="7" t="str">
        <f t="shared" si="28"/>
        <v>20</v>
      </c>
      <c r="G584" s="7" t="str">
        <f>"11"</f>
        <v>11</v>
      </c>
      <c r="H584" s="7" t="s">
        <v>45</v>
      </c>
      <c r="I584" s="7">
        <v>62.8</v>
      </c>
      <c r="J584" s="9"/>
    </row>
    <row r="585" ht="14.25" spans="1:10">
      <c r="A585" s="7" t="s">
        <v>492</v>
      </c>
      <c r="B585" s="7" t="s">
        <v>595</v>
      </c>
      <c r="C585" s="7" t="str">
        <f t="shared" si="29"/>
        <v>男</v>
      </c>
      <c r="D585" s="7" t="str">
        <f>"411325199712290037"</f>
        <v>411325199712290037</v>
      </c>
      <c r="E585" s="8" t="str">
        <f>"10960072012"</f>
        <v>10960072012</v>
      </c>
      <c r="F585" s="7" t="str">
        <f t="shared" si="28"/>
        <v>20</v>
      </c>
      <c r="G585" s="7" t="str">
        <f>"12"</f>
        <v>12</v>
      </c>
      <c r="H585" s="7" t="s">
        <v>45</v>
      </c>
      <c r="I585" s="7" t="s">
        <v>14</v>
      </c>
      <c r="J585" s="9"/>
    </row>
    <row r="586" ht="14.25" spans="1:10">
      <c r="A586" s="7" t="s">
        <v>492</v>
      </c>
      <c r="B586" s="7" t="s">
        <v>596</v>
      </c>
      <c r="C586" s="7" t="str">
        <f t="shared" si="29"/>
        <v>男</v>
      </c>
      <c r="D586" s="7" t="str">
        <f>"411326199111080014"</f>
        <v>411326199111080014</v>
      </c>
      <c r="E586" s="8" t="str">
        <f>"10960072013"</f>
        <v>10960072013</v>
      </c>
      <c r="F586" s="7" t="str">
        <f t="shared" si="28"/>
        <v>20</v>
      </c>
      <c r="G586" s="7" t="str">
        <f>"13"</f>
        <v>13</v>
      </c>
      <c r="H586" s="7" t="s">
        <v>45</v>
      </c>
      <c r="I586" s="7">
        <v>58.9</v>
      </c>
      <c r="J586" s="9"/>
    </row>
    <row r="587" ht="14.25" spans="1:10">
      <c r="A587" s="7" t="s">
        <v>597</v>
      </c>
      <c r="B587" s="7" t="s">
        <v>598</v>
      </c>
      <c r="C587" s="7" t="str">
        <f t="shared" si="29"/>
        <v>男</v>
      </c>
      <c r="D587" s="7" t="str">
        <f>"411329199608183819"</f>
        <v>411329199608183819</v>
      </c>
      <c r="E587" s="8" t="str">
        <f>"10960092014"</f>
        <v>10960092014</v>
      </c>
      <c r="F587" s="7" t="str">
        <f t="shared" si="28"/>
        <v>20</v>
      </c>
      <c r="G587" s="7" t="str">
        <f>"14"</f>
        <v>14</v>
      </c>
      <c r="H587" s="7" t="s">
        <v>13</v>
      </c>
      <c r="I587" s="7">
        <v>52</v>
      </c>
      <c r="J587" s="9"/>
    </row>
    <row r="588" ht="14.25" spans="1:10">
      <c r="A588" s="7" t="s">
        <v>597</v>
      </c>
      <c r="B588" s="7" t="s">
        <v>599</v>
      </c>
      <c r="C588" s="7" t="str">
        <f t="shared" si="29"/>
        <v>男</v>
      </c>
      <c r="D588" s="7" t="str">
        <f>"411325199502260016"</f>
        <v>411325199502260016</v>
      </c>
      <c r="E588" s="8" t="str">
        <f>"10960092015"</f>
        <v>10960092015</v>
      </c>
      <c r="F588" s="7" t="str">
        <f t="shared" si="28"/>
        <v>20</v>
      </c>
      <c r="G588" s="7" t="str">
        <f>"15"</f>
        <v>15</v>
      </c>
      <c r="H588" s="7" t="s">
        <v>13</v>
      </c>
      <c r="I588" s="7">
        <v>71.2</v>
      </c>
      <c r="J588" s="9"/>
    </row>
    <row r="589" ht="14.25" spans="1:10">
      <c r="A589" s="7" t="s">
        <v>597</v>
      </c>
      <c r="B589" s="7" t="s">
        <v>600</v>
      </c>
      <c r="C589" s="7" t="str">
        <f t="shared" si="29"/>
        <v>女</v>
      </c>
      <c r="D589" s="7" t="str">
        <f>"411329199504281940"</f>
        <v>411329199504281940</v>
      </c>
      <c r="E589" s="8" t="str">
        <f>"10960092016"</f>
        <v>10960092016</v>
      </c>
      <c r="F589" s="7" t="str">
        <f t="shared" si="28"/>
        <v>20</v>
      </c>
      <c r="G589" s="7" t="str">
        <f>"16"</f>
        <v>16</v>
      </c>
      <c r="H589" s="7" t="s">
        <v>13</v>
      </c>
      <c r="I589" s="7">
        <v>71.1</v>
      </c>
      <c r="J589" s="9"/>
    </row>
    <row r="590" ht="14.25" spans="1:10">
      <c r="A590" s="7" t="s">
        <v>597</v>
      </c>
      <c r="B590" s="7" t="s">
        <v>601</v>
      </c>
      <c r="C590" s="7" t="str">
        <f t="shared" si="29"/>
        <v>男</v>
      </c>
      <c r="D590" s="7" t="str">
        <f>"411325199601150410"</f>
        <v>411325199601150410</v>
      </c>
      <c r="E590" s="8" t="str">
        <f>"10960092017"</f>
        <v>10960092017</v>
      </c>
      <c r="F590" s="7" t="str">
        <f t="shared" si="28"/>
        <v>20</v>
      </c>
      <c r="G590" s="7" t="str">
        <f>"17"</f>
        <v>17</v>
      </c>
      <c r="H590" s="7" t="s">
        <v>13</v>
      </c>
      <c r="I590" s="7">
        <v>54.5</v>
      </c>
      <c r="J590" s="9"/>
    </row>
    <row r="591" ht="14.25" spans="1:10">
      <c r="A591" s="7" t="s">
        <v>597</v>
      </c>
      <c r="B591" s="7" t="s">
        <v>602</v>
      </c>
      <c r="C591" s="7" t="str">
        <f t="shared" si="29"/>
        <v>男</v>
      </c>
      <c r="D591" s="7" t="str">
        <f>"411302199702112814"</f>
        <v>411302199702112814</v>
      </c>
      <c r="E591" s="8" t="str">
        <f>"10960092018"</f>
        <v>10960092018</v>
      </c>
      <c r="F591" s="7" t="str">
        <f t="shared" si="28"/>
        <v>20</v>
      </c>
      <c r="G591" s="7" t="str">
        <f>"18"</f>
        <v>18</v>
      </c>
      <c r="H591" s="7" t="s">
        <v>13</v>
      </c>
      <c r="I591" s="7" t="s">
        <v>14</v>
      </c>
      <c r="J591" s="9"/>
    </row>
    <row r="592" ht="14.25" spans="1:10">
      <c r="A592" s="7" t="s">
        <v>597</v>
      </c>
      <c r="B592" s="7" t="s">
        <v>603</v>
      </c>
      <c r="C592" s="7" t="str">
        <f t="shared" si="29"/>
        <v>男</v>
      </c>
      <c r="D592" s="7" t="str">
        <f>"411302199706180013"</f>
        <v>411302199706180013</v>
      </c>
      <c r="E592" s="8" t="str">
        <f>"10960092019"</f>
        <v>10960092019</v>
      </c>
      <c r="F592" s="7" t="str">
        <f t="shared" si="28"/>
        <v>20</v>
      </c>
      <c r="G592" s="7" t="str">
        <f>"19"</f>
        <v>19</v>
      </c>
      <c r="H592" s="7" t="s">
        <v>13</v>
      </c>
      <c r="I592" s="7" t="s">
        <v>14</v>
      </c>
      <c r="J592" s="9"/>
    </row>
    <row r="593" ht="14.25" spans="1:10">
      <c r="A593" s="7" t="s">
        <v>597</v>
      </c>
      <c r="B593" s="7" t="s">
        <v>604</v>
      </c>
      <c r="C593" s="7" t="str">
        <f t="shared" si="29"/>
        <v>男</v>
      </c>
      <c r="D593" s="7" t="str">
        <f>"411381199704096112"</f>
        <v>411381199704096112</v>
      </c>
      <c r="E593" s="8" t="str">
        <f>"10960092020"</f>
        <v>10960092020</v>
      </c>
      <c r="F593" s="7" t="str">
        <f t="shared" si="28"/>
        <v>20</v>
      </c>
      <c r="G593" s="7" t="str">
        <f>"20"</f>
        <v>20</v>
      </c>
      <c r="H593" s="7" t="s">
        <v>13</v>
      </c>
      <c r="I593" s="7" t="s">
        <v>14</v>
      </c>
      <c r="J593" s="9"/>
    </row>
    <row r="594" ht="14.25" spans="1:10">
      <c r="A594" s="7" t="s">
        <v>597</v>
      </c>
      <c r="B594" s="7" t="s">
        <v>605</v>
      </c>
      <c r="C594" s="7" t="str">
        <f t="shared" si="29"/>
        <v>男</v>
      </c>
      <c r="D594" s="7" t="str">
        <f>"411325199611220013"</f>
        <v>411325199611220013</v>
      </c>
      <c r="E594" s="8" t="str">
        <f>"10960092021"</f>
        <v>10960092021</v>
      </c>
      <c r="F594" s="7" t="str">
        <f t="shared" si="28"/>
        <v>20</v>
      </c>
      <c r="G594" s="7" t="str">
        <f>"21"</f>
        <v>21</v>
      </c>
      <c r="H594" s="7" t="s">
        <v>13</v>
      </c>
      <c r="I594" s="7">
        <v>48.4</v>
      </c>
      <c r="J594" s="9"/>
    </row>
    <row r="595" ht="14.25" spans="1:10">
      <c r="A595" s="7" t="s">
        <v>597</v>
      </c>
      <c r="B595" s="7" t="s">
        <v>606</v>
      </c>
      <c r="C595" s="7" t="str">
        <f t="shared" si="29"/>
        <v>男</v>
      </c>
      <c r="D595" s="7" t="str">
        <f>"412822199501110015"</f>
        <v>412822199501110015</v>
      </c>
      <c r="E595" s="8" t="str">
        <f>"10960092022"</f>
        <v>10960092022</v>
      </c>
      <c r="F595" s="7" t="str">
        <f t="shared" si="28"/>
        <v>20</v>
      </c>
      <c r="G595" s="7" t="str">
        <f>"22"</f>
        <v>22</v>
      </c>
      <c r="H595" s="7" t="s">
        <v>13</v>
      </c>
      <c r="I595" s="7">
        <v>51.5</v>
      </c>
      <c r="J595" s="9"/>
    </row>
    <row r="596" ht="14.25" spans="1:10">
      <c r="A596" s="7" t="s">
        <v>597</v>
      </c>
      <c r="B596" s="7" t="s">
        <v>607</v>
      </c>
      <c r="C596" s="7" t="str">
        <f t="shared" si="29"/>
        <v>女</v>
      </c>
      <c r="D596" s="7" t="str">
        <f>"411325199509120745"</f>
        <v>411325199509120745</v>
      </c>
      <c r="E596" s="8" t="str">
        <f>"10960092023"</f>
        <v>10960092023</v>
      </c>
      <c r="F596" s="7" t="str">
        <f t="shared" si="28"/>
        <v>20</v>
      </c>
      <c r="G596" s="7" t="str">
        <f>"23"</f>
        <v>23</v>
      </c>
      <c r="H596" s="7" t="s">
        <v>13</v>
      </c>
      <c r="I596" s="7">
        <v>62</v>
      </c>
      <c r="J596" s="9"/>
    </row>
    <row r="597" ht="14.25" spans="1:10">
      <c r="A597" s="7" t="s">
        <v>597</v>
      </c>
      <c r="B597" s="7" t="s">
        <v>608</v>
      </c>
      <c r="C597" s="7" t="str">
        <f t="shared" si="29"/>
        <v>男</v>
      </c>
      <c r="D597" s="7" t="str">
        <f>"411328199812120413"</f>
        <v>411328199812120413</v>
      </c>
      <c r="E597" s="8" t="str">
        <f>"10960092024"</f>
        <v>10960092024</v>
      </c>
      <c r="F597" s="7" t="str">
        <f t="shared" si="28"/>
        <v>20</v>
      </c>
      <c r="G597" s="7" t="str">
        <f>"24"</f>
        <v>24</v>
      </c>
      <c r="H597" s="7" t="s">
        <v>13</v>
      </c>
      <c r="I597" s="7">
        <v>71.3</v>
      </c>
      <c r="J597" s="9"/>
    </row>
    <row r="598" ht="14.25" spans="1:10">
      <c r="A598" s="7" t="s">
        <v>597</v>
      </c>
      <c r="B598" s="7" t="s">
        <v>609</v>
      </c>
      <c r="C598" s="7" t="str">
        <f t="shared" si="29"/>
        <v>男</v>
      </c>
      <c r="D598" s="7" t="str">
        <f>"41282419900104435X"</f>
        <v>41282419900104435X</v>
      </c>
      <c r="E598" s="8" t="str">
        <f>"10960092025"</f>
        <v>10960092025</v>
      </c>
      <c r="F598" s="7" t="str">
        <f t="shared" si="28"/>
        <v>20</v>
      </c>
      <c r="G598" s="7" t="str">
        <f>"25"</f>
        <v>25</v>
      </c>
      <c r="H598" s="7" t="s">
        <v>13</v>
      </c>
      <c r="I598" s="7">
        <v>58.2</v>
      </c>
      <c r="J598" s="9"/>
    </row>
    <row r="599" ht="14.25" spans="1:10">
      <c r="A599" s="7" t="s">
        <v>597</v>
      </c>
      <c r="B599" s="7" t="s">
        <v>610</v>
      </c>
      <c r="C599" s="7" t="str">
        <f t="shared" si="29"/>
        <v>女</v>
      </c>
      <c r="D599" s="7" t="str">
        <f>"41132519961209002X"</f>
        <v>41132519961209002X</v>
      </c>
      <c r="E599" s="8" t="str">
        <f>"10960092026"</f>
        <v>10960092026</v>
      </c>
      <c r="F599" s="7" t="str">
        <f t="shared" si="28"/>
        <v>20</v>
      </c>
      <c r="G599" s="7" t="str">
        <f>"26"</f>
        <v>26</v>
      </c>
      <c r="H599" s="7" t="s">
        <v>13</v>
      </c>
      <c r="I599" s="7">
        <v>71.1</v>
      </c>
      <c r="J599" s="9"/>
    </row>
    <row r="600" ht="14.25" spans="1:10">
      <c r="A600" s="7" t="s">
        <v>597</v>
      </c>
      <c r="B600" s="7" t="s">
        <v>611</v>
      </c>
      <c r="C600" s="7" t="str">
        <f t="shared" si="29"/>
        <v>女</v>
      </c>
      <c r="D600" s="7" t="str">
        <f>"411322199505263424"</f>
        <v>411322199505263424</v>
      </c>
      <c r="E600" s="8" t="str">
        <f>"10960092027"</f>
        <v>10960092027</v>
      </c>
      <c r="F600" s="7" t="str">
        <f t="shared" si="28"/>
        <v>20</v>
      </c>
      <c r="G600" s="7" t="str">
        <f>"27"</f>
        <v>27</v>
      </c>
      <c r="H600" s="7" t="s">
        <v>13</v>
      </c>
      <c r="I600" s="7" t="s">
        <v>14</v>
      </c>
      <c r="J600" s="9"/>
    </row>
    <row r="601" ht="14.25" spans="1:10">
      <c r="A601" s="7" t="s">
        <v>597</v>
      </c>
      <c r="B601" s="7" t="s">
        <v>612</v>
      </c>
      <c r="C601" s="7" t="str">
        <f t="shared" si="29"/>
        <v>女</v>
      </c>
      <c r="D601" s="7" t="str">
        <f>"411326199409154047"</f>
        <v>411326199409154047</v>
      </c>
      <c r="E601" s="8" t="str">
        <f>"10960092028"</f>
        <v>10960092028</v>
      </c>
      <c r="F601" s="7" t="str">
        <f t="shared" si="28"/>
        <v>20</v>
      </c>
      <c r="G601" s="7" t="str">
        <f>"28"</f>
        <v>28</v>
      </c>
      <c r="H601" s="7" t="s">
        <v>13</v>
      </c>
      <c r="I601" s="7">
        <v>42.8</v>
      </c>
      <c r="J601" s="9"/>
    </row>
    <row r="602" ht="14.25" spans="1:10">
      <c r="A602" s="7" t="s">
        <v>597</v>
      </c>
      <c r="B602" s="7" t="s">
        <v>613</v>
      </c>
      <c r="C602" s="7" t="str">
        <f t="shared" si="29"/>
        <v>男</v>
      </c>
      <c r="D602" s="7" t="str">
        <f>"411326199403150010"</f>
        <v>411326199403150010</v>
      </c>
      <c r="E602" s="8" t="str">
        <f>"10960092029"</f>
        <v>10960092029</v>
      </c>
      <c r="F602" s="7" t="str">
        <f t="shared" si="28"/>
        <v>20</v>
      </c>
      <c r="G602" s="7" t="str">
        <f>"29"</f>
        <v>29</v>
      </c>
      <c r="H602" s="7" t="s">
        <v>13</v>
      </c>
      <c r="I602" s="7" t="s">
        <v>14</v>
      </c>
      <c r="J602" s="9"/>
    </row>
    <row r="603" ht="14.25" spans="1:10">
      <c r="A603" s="7" t="s">
        <v>597</v>
      </c>
      <c r="B603" s="7" t="s">
        <v>614</v>
      </c>
      <c r="C603" s="7" t="str">
        <f t="shared" si="29"/>
        <v>女</v>
      </c>
      <c r="D603" s="7" t="str">
        <f>"411325199610247863"</f>
        <v>411325199610247863</v>
      </c>
      <c r="E603" s="8" t="str">
        <f>"10960092030"</f>
        <v>10960092030</v>
      </c>
      <c r="F603" s="7" t="str">
        <f t="shared" si="28"/>
        <v>20</v>
      </c>
      <c r="G603" s="7" t="str">
        <f>"30"</f>
        <v>30</v>
      </c>
      <c r="H603" s="7" t="s">
        <v>13</v>
      </c>
      <c r="I603" s="7" t="s">
        <v>14</v>
      </c>
      <c r="J603" s="9"/>
    </row>
    <row r="604" ht="14.25" spans="1:10">
      <c r="A604" s="7" t="s">
        <v>597</v>
      </c>
      <c r="B604" s="7" t="s">
        <v>615</v>
      </c>
      <c r="C604" s="7" t="str">
        <f t="shared" si="29"/>
        <v>男</v>
      </c>
      <c r="D604" s="7" t="str">
        <f>"411327199410160010"</f>
        <v>411327199410160010</v>
      </c>
      <c r="E604" s="8" t="str">
        <f>"10960092101"</f>
        <v>10960092101</v>
      </c>
      <c r="F604" s="7" t="str">
        <f t="shared" ref="F604:F633" si="30">"21"</f>
        <v>21</v>
      </c>
      <c r="G604" s="7" t="str">
        <f>"01"</f>
        <v>01</v>
      </c>
      <c r="H604" s="7" t="s">
        <v>13</v>
      </c>
      <c r="I604" s="7" t="s">
        <v>14</v>
      </c>
      <c r="J604" s="9"/>
    </row>
    <row r="605" ht="14.25" spans="1:10">
      <c r="A605" s="7" t="s">
        <v>597</v>
      </c>
      <c r="B605" s="7" t="s">
        <v>616</v>
      </c>
      <c r="C605" s="7" t="str">
        <f t="shared" si="29"/>
        <v>男</v>
      </c>
      <c r="D605" s="7" t="str">
        <f>"41132119950523001X"</f>
        <v>41132119950523001X</v>
      </c>
      <c r="E605" s="8" t="str">
        <f>"10960092102"</f>
        <v>10960092102</v>
      </c>
      <c r="F605" s="7" t="str">
        <f t="shared" si="30"/>
        <v>21</v>
      </c>
      <c r="G605" s="7" t="str">
        <f>"02"</f>
        <v>02</v>
      </c>
      <c r="H605" s="7" t="s">
        <v>13</v>
      </c>
      <c r="I605" s="7">
        <v>69.5</v>
      </c>
      <c r="J605" s="9"/>
    </row>
    <row r="606" ht="14.25" spans="1:10">
      <c r="A606" s="7" t="s">
        <v>597</v>
      </c>
      <c r="B606" s="7" t="s">
        <v>617</v>
      </c>
      <c r="C606" s="7" t="str">
        <f t="shared" si="29"/>
        <v>男</v>
      </c>
      <c r="D606" s="7" t="str">
        <f>"411303199705210010"</f>
        <v>411303199705210010</v>
      </c>
      <c r="E606" s="8" t="str">
        <f>"10960092103"</f>
        <v>10960092103</v>
      </c>
      <c r="F606" s="7" t="str">
        <f t="shared" si="30"/>
        <v>21</v>
      </c>
      <c r="G606" s="7" t="str">
        <f>"03"</f>
        <v>03</v>
      </c>
      <c r="H606" s="7" t="s">
        <v>13</v>
      </c>
      <c r="I606" s="7" t="s">
        <v>14</v>
      </c>
      <c r="J606" s="9"/>
    </row>
    <row r="607" ht="14.25" spans="1:10">
      <c r="A607" s="7" t="s">
        <v>597</v>
      </c>
      <c r="B607" s="7" t="s">
        <v>618</v>
      </c>
      <c r="C607" s="7" t="str">
        <f t="shared" si="29"/>
        <v>男</v>
      </c>
      <c r="D607" s="7" t="str">
        <f>"412829199101116471"</f>
        <v>412829199101116471</v>
      </c>
      <c r="E607" s="8" t="str">
        <f>"10960092104"</f>
        <v>10960092104</v>
      </c>
      <c r="F607" s="7" t="str">
        <f t="shared" si="30"/>
        <v>21</v>
      </c>
      <c r="G607" s="7" t="str">
        <f>"04"</f>
        <v>04</v>
      </c>
      <c r="H607" s="7" t="s">
        <v>13</v>
      </c>
      <c r="I607" s="7" t="s">
        <v>14</v>
      </c>
      <c r="J607" s="9"/>
    </row>
    <row r="608" ht="14.25" spans="1:10">
      <c r="A608" s="7" t="s">
        <v>597</v>
      </c>
      <c r="B608" s="7" t="s">
        <v>619</v>
      </c>
      <c r="C608" s="7" t="str">
        <f t="shared" si="29"/>
        <v>女</v>
      </c>
      <c r="D608" s="7" t="str">
        <f>"412728199109096901"</f>
        <v>412728199109096901</v>
      </c>
      <c r="E608" s="8" t="str">
        <f>"10960092105"</f>
        <v>10960092105</v>
      </c>
      <c r="F608" s="7" t="str">
        <f t="shared" si="30"/>
        <v>21</v>
      </c>
      <c r="G608" s="7" t="str">
        <f>"05"</f>
        <v>05</v>
      </c>
      <c r="H608" s="7" t="s">
        <v>13</v>
      </c>
      <c r="I608" s="7" t="s">
        <v>14</v>
      </c>
      <c r="J608" s="9"/>
    </row>
    <row r="609" ht="14.25" spans="1:10">
      <c r="A609" s="7" t="s">
        <v>597</v>
      </c>
      <c r="B609" s="7" t="s">
        <v>620</v>
      </c>
      <c r="C609" s="7" t="str">
        <f t="shared" si="29"/>
        <v>女</v>
      </c>
      <c r="D609" s="7" t="str">
        <f>"371325199310010028"</f>
        <v>371325199310010028</v>
      </c>
      <c r="E609" s="8" t="str">
        <f>"10960092106"</f>
        <v>10960092106</v>
      </c>
      <c r="F609" s="7" t="str">
        <f t="shared" si="30"/>
        <v>21</v>
      </c>
      <c r="G609" s="7" t="str">
        <f>"06"</f>
        <v>06</v>
      </c>
      <c r="H609" s="7" t="s">
        <v>45</v>
      </c>
      <c r="I609" s="7" t="s">
        <v>14</v>
      </c>
      <c r="J609" s="9"/>
    </row>
    <row r="610" ht="14.25" spans="1:10">
      <c r="A610" s="7" t="s">
        <v>597</v>
      </c>
      <c r="B610" s="7" t="s">
        <v>621</v>
      </c>
      <c r="C610" s="7" t="str">
        <f t="shared" si="29"/>
        <v>女</v>
      </c>
      <c r="D610" s="7" t="str">
        <f>"411303199704140524"</f>
        <v>411303199704140524</v>
      </c>
      <c r="E610" s="8" t="str">
        <f>"10960092107"</f>
        <v>10960092107</v>
      </c>
      <c r="F610" s="7" t="str">
        <f t="shared" si="30"/>
        <v>21</v>
      </c>
      <c r="G610" s="7" t="str">
        <f>"07"</f>
        <v>07</v>
      </c>
      <c r="H610" s="7" t="s">
        <v>45</v>
      </c>
      <c r="I610" s="7">
        <v>64</v>
      </c>
      <c r="J610" s="9"/>
    </row>
    <row r="611" ht="14.25" spans="1:10">
      <c r="A611" s="7" t="s">
        <v>597</v>
      </c>
      <c r="B611" s="7" t="s">
        <v>622</v>
      </c>
      <c r="C611" s="7" t="str">
        <f t="shared" si="29"/>
        <v>男</v>
      </c>
      <c r="D611" s="7" t="str">
        <f>"342423199307295294"</f>
        <v>342423199307295294</v>
      </c>
      <c r="E611" s="8" t="str">
        <f>"10960092108"</f>
        <v>10960092108</v>
      </c>
      <c r="F611" s="7" t="str">
        <f t="shared" si="30"/>
        <v>21</v>
      </c>
      <c r="G611" s="7" t="str">
        <f>"08"</f>
        <v>08</v>
      </c>
      <c r="H611" s="7" t="s">
        <v>45</v>
      </c>
      <c r="I611" s="7" t="s">
        <v>14</v>
      </c>
      <c r="J611" s="9"/>
    </row>
    <row r="612" ht="14.25" spans="1:10">
      <c r="A612" s="7" t="s">
        <v>597</v>
      </c>
      <c r="B612" s="7" t="s">
        <v>623</v>
      </c>
      <c r="C612" s="7" t="str">
        <f t="shared" si="29"/>
        <v>男</v>
      </c>
      <c r="D612" s="7" t="str">
        <f>"150422199202130035"</f>
        <v>150422199202130035</v>
      </c>
      <c r="E612" s="8" t="str">
        <f>"10960092109"</f>
        <v>10960092109</v>
      </c>
      <c r="F612" s="7" t="str">
        <f t="shared" si="30"/>
        <v>21</v>
      </c>
      <c r="G612" s="7" t="str">
        <f>"09"</f>
        <v>09</v>
      </c>
      <c r="H612" s="7" t="s">
        <v>45</v>
      </c>
      <c r="I612" s="7" t="s">
        <v>14</v>
      </c>
      <c r="J612" s="9"/>
    </row>
    <row r="613" ht="14.25" spans="1:10">
      <c r="A613" s="7" t="s">
        <v>597</v>
      </c>
      <c r="B613" s="7" t="s">
        <v>624</v>
      </c>
      <c r="C613" s="7" t="str">
        <f t="shared" si="29"/>
        <v>男</v>
      </c>
      <c r="D613" s="7" t="str">
        <f>"411321199406150938"</f>
        <v>411321199406150938</v>
      </c>
      <c r="E613" s="8" t="str">
        <f>"10960092110"</f>
        <v>10960092110</v>
      </c>
      <c r="F613" s="7" t="str">
        <f t="shared" si="30"/>
        <v>21</v>
      </c>
      <c r="G613" s="7" t="str">
        <f>"10"</f>
        <v>10</v>
      </c>
      <c r="H613" s="7" t="s">
        <v>45</v>
      </c>
      <c r="I613" s="7">
        <v>56.6</v>
      </c>
      <c r="J613" s="9"/>
    </row>
    <row r="614" ht="14.25" spans="1:10">
      <c r="A614" s="7" t="s">
        <v>597</v>
      </c>
      <c r="B614" s="7" t="s">
        <v>625</v>
      </c>
      <c r="C614" s="7" t="str">
        <f t="shared" si="29"/>
        <v>男</v>
      </c>
      <c r="D614" s="7" t="str">
        <f>"411323199608170059"</f>
        <v>411323199608170059</v>
      </c>
      <c r="E614" s="8" t="str">
        <f>"10960092111"</f>
        <v>10960092111</v>
      </c>
      <c r="F614" s="7" t="str">
        <f t="shared" si="30"/>
        <v>21</v>
      </c>
      <c r="G614" s="7" t="str">
        <f>"11"</f>
        <v>11</v>
      </c>
      <c r="H614" s="7" t="s">
        <v>45</v>
      </c>
      <c r="I614" s="7" t="s">
        <v>14</v>
      </c>
      <c r="J614" s="9"/>
    </row>
    <row r="615" ht="14.25" spans="1:10">
      <c r="A615" s="7" t="s">
        <v>597</v>
      </c>
      <c r="B615" s="7" t="s">
        <v>626</v>
      </c>
      <c r="C615" s="7" t="str">
        <f t="shared" si="29"/>
        <v>女</v>
      </c>
      <c r="D615" s="7" t="str">
        <f>"411123199304128520"</f>
        <v>411123199304128520</v>
      </c>
      <c r="E615" s="8" t="str">
        <f>"10960092112"</f>
        <v>10960092112</v>
      </c>
      <c r="F615" s="7" t="str">
        <f t="shared" si="30"/>
        <v>21</v>
      </c>
      <c r="G615" s="7" t="str">
        <f>"12"</f>
        <v>12</v>
      </c>
      <c r="H615" s="7" t="s">
        <v>45</v>
      </c>
      <c r="I615" s="7">
        <v>67</v>
      </c>
      <c r="J615" s="9"/>
    </row>
    <row r="616" ht="14.25" spans="1:10">
      <c r="A616" s="7" t="s">
        <v>597</v>
      </c>
      <c r="B616" s="7" t="s">
        <v>627</v>
      </c>
      <c r="C616" s="7" t="str">
        <f t="shared" si="29"/>
        <v>女</v>
      </c>
      <c r="D616" s="7" t="str">
        <f>"412822199909200022"</f>
        <v>412822199909200022</v>
      </c>
      <c r="E616" s="8" t="str">
        <f>"10960092113"</f>
        <v>10960092113</v>
      </c>
      <c r="F616" s="7" t="str">
        <f t="shared" si="30"/>
        <v>21</v>
      </c>
      <c r="G616" s="7" t="str">
        <f>"13"</f>
        <v>13</v>
      </c>
      <c r="H616" s="7" t="s">
        <v>45</v>
      </c>
      <c r="I616" s="7">
        <v>66.4</v>
      </c>
      <c r="J616" s="9"/>
    </row>
    <row r="617" ht="14.25" spans="1:10">
      <c r="A617" s="7" t="s">
        <v>597</v>
      </c>
      <c r="B617" s="7" t="s">
        <v>628</v>
      </c>
      <c r="C617" s="7" t="str">
        <f t="shared" si="29"/>
        <v>男</v>
      </c>
      <c r="D617" s="7" t="str">
        <f>"411302199402280816"</f>
        <v>411302199402280816</v>
      </c>
      <c r="E617" s="8" t="str">
        <f>"10960092114"</f>
        <v>10960092114</v>
      </c>
      <c r="F617" s="7" t="str">
        <f t="shared" si="30"/>
        <v>21</v>
      </c>
      <c r="G617" s="7" t="str">
        <f>"14"</f>
        <v>14</v>
      </c>
      <c r="H617" s="7" t="s">
        <v>45</v>
      </c>
      <c r="I617" s="7" t="s">
        <v>14</v>
      </c>
      <c r="J617" s="9"/>
    </row>
    <row r="618" ht="14.25" spans="1:10">
      <c r="A618" s="7" t="s">
        <v>597</v>
      </c>
      <c r="B618" s="7" t="s">
        <v>629</v>
      </c>
      <c r="C618" s="7" t="str">
        <f t="shared" si="29"/>
        <v>女</v>
      </c>
      <c r="D618" s="7" t="str">
        <f>"41048219970610384X"</f>
        <v>41048219970610384X</v>
      </c>
      <c r="E618" s="8" t="str">
        <f>"10960092115"</f>
        <v>10960092115</v>
      </c>
      <c r="F618" s="7" t="str">
        <f t="shared" si="30"/>
        <v>21</v>
      </c>
      <c r="G618" s="7" t="str">
        <f>"15"</f>
        <v>15</v>
      </c>
      <c r="H618" s="7" t="s">
        <v>45</v>
      </c>
      <c r="I618" s="7" t="s">
        <v>14</v>
      </c>
      <c r="J618" s="9"/>
    </row>
    <row r="619" ht="14.25" spans="1:10">
      <c r="A619" s="7" t="s">
        <v>597</v>
      </c>
      <c r="B619" s="7" t="s">
        <v>630</v>
      </c>
      <c r="C619" s="7" t="str">
        <f t="shared" si="29"/>
        <v>男</v>
      </c>
      <c r="D619" s="7" t="str">
        <f>"411323199107120010"</f>
        <v>411323199107120010</v>
      </c>
      <c r="E619" s="8" t="str">
        <f>"10960092116"</f>
        <v>10960092116</v>
      </c>
      <c r="F619" s="7" t="str">
        <f t="shared" si="30"/>
        <v>21</v>
      </c>
      <c r="G619" s="7" t="str">
        <f>"16"</f>
        <v>16</v>
      </c>
      <c r="H619" s="7" t="s">
        <v>45</v>
      </c>
      <c r="I619" s="7">
        <v>59.1</v>
      </c>
      <c r="J619" s="9"/>
    </row>
    <row r="620" ht="14.25" spans="1:10">
      <c r="A620" s="7" t="s">
        <v>597</v>
      </c>
      <c r="B620" s="7" t="s">
        <v>631</v>
      </c>
      <c r="C620" s="7" t="str">
        <f t="shared" si="29"/>
        <v>男</v>
      </c>
      <c r="D620" s="7" t="str">
        <f>"41108119930410915X"</f>
        <v>41108119930410915X</v>
      </c>
      <c r="E620" s="8" t="str">
        <f>"10960092117"</f>
        <v>10960092117</v>
      </c>
      <c r="F620" s="7" t="str">
        <f t="shared" si="30"/>
        <v>21</v>
      </c>
      <c r="G620" s="7" t="str">
        <f>"17"</f>
        <v>17</v>
      </c>
      <c r="H620" s="7" t="s">
        <v>45</v>
      </c>
      <c r="I620" s="7" t="s">
        <v>14</v>
      </c>
      <c r="J620" s="9"/>
    </row>
    <row r="621" ht="14.25" spans="1:10">
      <c r="A621" s="7" t="s">
        <v>597</v>
      </c>
      <c r="B621" s="7" t="s">
        <v>632</v>
      </c>
      <c r="C621" s="7" t="str">
        <f t="shared" si="29"/>
        <v>女</v>
      </c>
      <c r="D621" s="7" t="str">
        <f>"41120219960221552X"</f>
        <v>41120219960221552X</v>
      </c>
      <c r="E621" s="8" t="str">
        <f>"10960092118"</f>
        <v>10960092118</v>
      </c>
      <c r="F621" s="7" t="str">
        <f t="shared" si="30"/>
        <v>21</v>
      </c>
      <c r="G621" s="7" t="str">
        <f>"18"</f>
        <v>18</v>
      </c>
      <c r="H621" s="7" t="s">
        <v>45</v>
      </c>
      <c r="I621" s="7" t="s">
        <v>14</v>
      </c>
      <c r="J621" s="9"/>
    </row>
    <row r="622" ht="14.25" spans="1:10">
      <c r="A622" s="7" t="s">
        <v>597</v>
      </c>
      <c r="B622" s="7" t="s">
        <v>633</v>
      </c>
      <c r="C622" s="7" t="str">
        <f t="shared" si="29"/>
        <v>男</v>
      </c>
      <c r="D622" s="7" t="str">
        <f>"411327199110250014"</f>
        <v>411327199110250014</v>
      </c>
      <c r="E622" s="8" t="str">
        <f>"10960092119"</f>
        <v>10960092119</v>
      </c>
      <c r="F622" s="7" t="str">
        <f t="shared" si="30"/>
        <v>21</v>
      </c>
      <c r="G622" s="7" t="str">
        <f>"19"</f>
        <v>19</v>
      </c>
      <c r="H622" s="7" t="s">
        <v>45</v>
      </c>
      <c r="I622" s="7" t="s">
        <v>14</v>
      </c>
      <c r="J622" s="9"/>
    </row>
    <row r="623" ht="14.25" spans="1:10">
      <c r="A623" s="7" t="s">
        <v>597</v>
      </c>
      <c r="B623" s="7" t="s">
        <v>634</v>
      </c>
      <c r="C623" s="7" t="str">
        <f t="shared" si="29"/>
        <v>男</v>
      </c>
      <c r="D623" s="7" t="str">
        <f>"411325199102259016"</f>
        <v>411325199102259016</v>
      </c>
      <c r="E623" s="8" t="str">
        <f>"10960092120"</f>
        <v>10960092120</v>
      </c>
      <c r="F623" s="7" t="str">
        <f t="shared" si="30"/>
        <v>21</v>
      </c>
      <c r="G623" s="7" t="str">
        <f>"20"</f>
        <v>20</v>
      </c>
      <c r="H623" s="7" t="s">
        <v>45</v>
      </c>
      <c r="I623" s="7">
        <v>58.2</v>
      </c>
      <c r="J623" s="9"/>
    </row>
    <row r="624" ht="14.25" spans="1:10">
      <c r="A624" s="7" t="s">
        <v>597</v>
      </c>
      <c r="B624" s="7" t="s">
        <v>635</v>
      </c>
      <c r="C624" s="7" t="str">
        <f t="shared" si="29"/>
        <v>女</v>
      </c>
      <c r="D624" s="7" t="str">
        <f>"142601199607288227"</f>
        <v>142601199607288227</v>
      </c>
      <c r="E624" s="8" t="str">
        <f>"10960092121"</f>
        <v>10960092121</v>
      </c>
      <c r="F624" s="7" t="str">
        <f t="shared" si="30"/>
        <v>21</v>
      </c>
      <c r="G624" s="7" t="str">
        <f>"21"</f>
        <v>21</v>
      </c>
      <c r="H624" s="7" t="s">
        <v>45</v>
      </c>
      <c r="I624" s="7" t="s">
        <v>14</v>
      </c>
      <c r="J624" s="9"/>
    </row>
    <row r="625" ht="14.25" spans="1:10">
      <c r="A625" s="7" t="s">
        <v>597</v>
      </c>
      <c r="B625" s="7" t="s">
        <v>636</v>
      </c>
      <c r="C625" s="7" t="str">
        <f t="shared" si="29"/>
        <v>女</v>
      </c>
      <c r="D625" s="7" t="str">
        <f>"411328199409158649"</f>
        <v>411328199409158649</v>
      </c>
      <c r="E625" s="8" t="str">
        <f>"10960092122"</f>
        <v>10960092122</v>
      </c>
      <c r="F625" s="7" t="str">
        <f t="shared" si="30"/>
        <v>21</v>
      </c>
      <c r="G625" s="7" t="str">
        <f>"22"</f>
        <v>22</v>
      </c>
      <c r="H625" s="7" t="s">
        <v>45</v>
      </c>
      <c r="I625" s="7" t="s">
        <v>14</v>
      </c>
      <c r="J625" s="9"/>
    </row>
    <row r="626" ht="14.25" spans="1:10">
      <c r="A626" s="7" t="s">
        <v>597</v>
      </c>
      <c r="B626" s="7" t="s">
        <v>637</v>
      </c>
      <c r="C626" s="7" t="str">
        <f t="shared" si="29"/>
        <v>男</v>
      </c>
      <c r="D626" s="7" t="str">
        <f>"412723199609141658"</f>
        <v>412723199609141658</v>
      </c>
      <c r="E626" s="8" t="str">
        <f>"10960092123"</f>
        <v>10960092123</v>
      </c>
      <c r="F626" s="7" t="str">
        <f t="shared" si="30"/>
        <v>21</v>
      </c>
      <c r="G626" s="7" t="str">
        <f>"23"</f>
        <v>23</v>
      </c>
      <c r="H626" s="7" t="s">
        <v>45</v>
      </c>
      <c r="I626" s="7" t="s">
        <v>14</v>
      </c>
      <c r="J626" s="9"/>
    </row>
    <row r="627" ht="14.25" spans="1:10">
      <c r="A627" s="7" t="s">
        <v>597</v>
      </c>
      <c r="B627" s="7" t="s">
        <v>416</v>
      </c>
      <c r="C627" s="7" t="str">
        <f t="shared" si="29"/>
        <v>女</v>
      </c>
      <c r="D627" s="7" t="str">
        <f>"410183199208214328"</f>
        <v>410183199208214328</v>
      </c>
      <c r="E627" s="8" t="str">
        <f>"10960092124"</f>
        <v>10960092124</v>
      </c>
      <c r="F627" s="7" t="str">
        <f t="shared" si="30"/>
        <v>21</v>
      </c>
      <c r="G627" s="7" t="str">
        <f>"24"</f>
        <v>24</v>
      </c>
      <c r="H627" s="7" t="s">
        <v>45</v>
      </c>
      <c r="I627" s="7" t="s">
        <v>14</v>
      </c>
      <c r="J627" s="9"/>
    </row>
    <row r="628" ht="14.25" spans="1:10">
      <c r="A628" s="7" t="s">
        <v>597</v>
      </c>
      <c r="B628" s="7" t="s">
        <v>638</v>
      </c>
      <c r="C628" s="7" t="str">
        <f t="shared" si="29"/>
        <v>男</v>
      </c>
      <c r="D628" s="7" t="str">
        <f>"411329199601201615"</f>
        <v>411329199601201615</v>
      </c>
      <c r="E628" s="8" t="str">
        <f>"10960092125"</f>
        <v>10960092125</v>
      </c>
      <c r="F628" s="7" t="str">
        <f t="shared" si="30"/>
        <v>21</v>
      </c>
      <c r="G628" s="7" t="str">
        <f>"25"</f>
        <v>25</v>
      </c>
      <c r="H628" s="7" t="s">
        <v>45</v>
      </c>
      <c r="I628" s="7">
        <v>58.6</v>
      </c>
      <c r="J628" s="9"/>
    </row>
    <row r="629" ht="14.25" spans="1:10">
      <c r="A629" s="7" t="s">
        <v>597</v>
      </c>
      <c r="B629" s="7" t="s">
        <v>639</v>
      </c>
      <c r="C629" s="7" t="str">
        <f t="shared" si="29"/>
        <v>女</v>
      </c>
      <c r="D629" s="7" t="str">
        <f>"411526199307121966"</f>
        <v>411526199307121966</v>
      </c>
      <c r="E629" s="8" t="str">
        <f>"10960092126"</f>
        <v>10960092126</v>
      </c>
      <c r="F629" s="7" t="str">
        <f t="shared" si="30"/>
        <v>21</v>
      </c>
      <c r="G629" s="7" t="str">
        <f>"26"</f>
        <v>26</v>
      </c>
      <c r="H629" s="7" t="s">
        <v>45</v>
      </c>
      <c r="I629" s="7">
        <v>69.7</v>
      </c>
      <c r="J629" s="9"/>
    </row>
    <row r="630" ht="14.25" spans="1:10">
      <c r="A630" s="7" t="s">
        <v>597</v>
      </c>
      <c r="B630" s="7" t="s">
        <v>640</v>
      </c>
      <c r="C630" s="7" t="str">
        <f t="shared" si="29"/>
        <v>男</v>
      </c>
      <c r="D630" s="7" t="str">
        <f>"410184199201280097"</f>
        <v>410184199201280097</v>
      </c>
      <c r="E630" s="8" t="str">
        <f>"10960092127"</f>
        <v>10960092127</v>
      </c>
      <c r="F630" s="7" t="str">
        <f t="shared" si="30"/>
        <v>21</v>
      </c>
      <c r="G630" s="7" t="str">
        <f>"27"</f>
        <v>27</v>
      </c>
      <c r="H630" s="7" t="s">
        <v>45</v>
      </c>
      <c r="I630" s="7" t="s">
        <v>14</v>
      </c>
      <c r="J630" s="9"/>
    </row>
    <row r="631" ht="14.25" spans="1:10">
      <c r="A631" s="7" t="s">
        <v>597</v>
      </c>
      <c r="B631" s="7" t="s">
        <v>641</v>
      </c>
      <c r="C631" s="7" t="str">
        <f t="shared" si="29"/>
        <v>男</v>
      </c>
      <c r="D631" s="7" t="str">
        <f>"412826199411140339"</f>
        <v>412826199411140339</v>
      </c>
      <c r="E631" s="8" t="str">
        <f>"10960092128"</f>
        <v>10960092128</v>
      </c>
      <c r="F631" s="7" t="str">
        <f t="shared" si="30"/>
        <v>21</v>
      </c>
      <c r="G631" s="7" t="str">
        <f>"28"</f>
        <v>28</v>
      </c>
      <c r="H631" s="7" t="s">
        <v>45</v>
      </c>
      <c r="I631" s="7" t="s">
        <v>14</v>
      </c>
      <c r="J631" s="9"/>
    </row>
    <row r="632" ht="14.25" spans="1:10">
      <c r="A632" s="7" t="s">
        <v>597</v>
      </c>
      <c r="B632" s="7" t="s">
        <v>642</v>
      </c>
      <c r="C632" s="7" t="str">
        <f t="shared" si="29"/>
        <v>女</v>
      </c>
      <c r="D632" s="7" t="str">
        <f>"411322199804081321"</f>
        <v>411322199804081321</v>
      </c>
      <c r="E632" s="8" t="str">
        <f>"10960092129"</f>
        <v>10960092129</v>
      </c>
      <c r="F632" s="7" t="str">
        <f t="shared" si="30"/>
        <v>21</v>
      </c>
      <c r="G632" s="7" t="str">
        <f>"29"</f>
        <v>29</v>
      </c>
      <c r="H632" s="7" t="s">
        <v>45</v>
      </c>
      <c r="I632" s="7" t="s">
        <v>14</v>
      </c>
      <c r="J632" s="9"/>
    </row>
    <row r="633" ht="14.25" spans="1:10">
      <c r="A633" s="7" t="s">
        <v>597</v>
      </c>
      <c r="B633" s="7" t="s">
        <v>643</v>
      </c>
      <c r="C633" s="7" t="str">
        <f t="shared" si="29"/>
        <v>男</v>
      </c>
      <c r="D633" s="7" t="str">
        <f>"41132319940706003X"</f>
        <v>41132319940706003X</v>
      </c>
      <c r="E633" s="8" t="str">
        <f>"10960092130"</f>
        <v>10960092130</v>
      </c>
      <c r="F633" s="7" t="str">
        <f t="shared" si="30"/>
        <v>21</v>
      </c>
      <c r="G633" s="7" t="str">
        <f>"30"</f>
        <v>30</v>
      </c>
      <c r="H633" s="7" t="s">
        <v>45</v>
      </c>
      <c r="I633" s="7" t="s">
        <v>14</v>
      </c>
      <c r="J633" s="9"/>
    </row>
    <row r="634" ht="14.25" spans="1:10">
      <c r="A634" s="7" t="s">
        <v>597</v>
      </c>
      <c r="B634" s="7" t="s">
        <v>644</v>
      </c>
      <c r="C634" s="7" t="str">
        <f t="shared" si="29"/>
        <v>男</v>
      </c>
      <c r="D634" s="7" t="str">
        <f>"411302199308240519"</f>
        <v>411302199308240519</v>
      </c>
      <c r="E634" s="8" t="str">
        <f>"10960092201"</f>
        <v>10960092201</v>
      </c>
      <c r="F634" s="7" t="str">
        <f t="shared" ref="F634:F663" si="31">"22"</f>
        <v>22</v>
      </c>
      <c r="G634" s="7" t="str">
        <f>"01"</f>
        <v>01</v>
      </c>
      <c r="H634" s="7" t="s">
        <v>45</v>
      </c>
      <c r="I634" s="7" t="s">
        <v>14</v>
      </c>
      <c r="J634" s="9"/>
    </row>
    <row r="635" ht="14.25" spans="1:10">
      <c r="A635" s="7" t="s">
        <v>597</v>
      </c>
      <c r="B635" s="7" t="s">
        <v>645</v>
      </c>
      <c r="C635" s="7" t="str">
        <f t="shared" si="29"/>
        <v>男</v>
      </c>
      <c r="D635" s="7" t="str">
        <f>"411321199608290031"</f>
        <v>411321199608290031</v>
      </c>
      <c r="E635" s="8" t="str">
        <f>"10960092202"</f>
        <v>10960092202</v>
      </c>
      <c r="F635" s="7" t="str">
        <f t="shared" si="31"/>
        <v>22</v>
      </c>
      <c r="G635" s="7" t="str">
        <f>"02"</f>
        <v>02</v>
      </c>
      <c r="H635" s="7" t="s">
        <v>45</v>
      </c>
      <c r="I635" s="7">
        <v>69.7</v>
      </c>
      <c r="J635" s="9"/>
    </row>
    <row r="636" ht="14.25" spans="1:10">
      <c r="A636" s="7" t="s">
        <v>597</v>
      </c>
      <c r="B636" s="7" t="s">
        <v>646</v>
      </c>
      <c r="C636" s="7" t="str">
        <f t="shared" si="29"/>
        <v>女</v>
      </c>
      <c r="D636" s="7" t="str">
        <f>"411329199803144428"</f>
        <v>411329199803144428</v>
      </c>
      <c r="E636" s="8" t="str">
        <f>"10960092203"</f>
        <v>10960092203</v>
      </c>
      <c r="F636" s="7" t="str">
        <f t="shared" si="31"/>
        <v>22</v>
      </c>
      <c r="G636" s="7" t="str">
        <f>"03"</f>
        <v>03</v>
      </c>
      <c r="H636" s="7" t="s">
        <v>45</v>
      </c>
      <c r="I636" s="7">
        <v>67.4</v>
      </c>
      <c r="J636" s="9"/>
    </row>
    <row r="637" ht="14.25" spans="1:10">
      <c r="A637" s="7" t="s">
        <v>597</v>
      </c>
      <c r="B637" s="7" t="s">
        <v>647</v>
      </c>
      <c r="C637" s="7" t="str">
        <f t="shared" si="29"/>
        <v>男</v>
      </c>
      <c r="D637" s="7" t="str">
        <f>"411381199304123038"</f>
        <v>411381199304123038</v>
      </c>
      <c r="E637" s="8" t="str">
        <f>"10960092204"</f>
        <v>10960092204</v>
      </c>
      <c r="F637" s="7" t="str">
        <f t="shared" si="31"/>
        <v>22</v>
      </c>
      <c r="G637" s="7" t="str">
        <f>"04"</f>
        <v>04</v>
      </c>
      <c r="H637" s="7" t="s">
        <v>45</v>
      </c>
      <c r="I637" s="7">
        <v>54.5</v>
      </c>
      <c r="J637" s="9"/>
    </row>
    <row r="638" ht="14.25" spans="1:10">
      <c r="A638" s="7" t="s">
        <v>597</v>
      </c>
      <c r="B638" s="7" t="s">
        <v>648</v>
      </c>
      <c r="C638" s="7" t="str">
        <f t="shared" si="29"/>
        <v>男</v>
      </c>
      <c r="D638" s="7" t="str">
        <f>"411329199102010013"</f>
        <v>411329199102010013</v>
      </c>
      <c r="E638" s="8" t="str">
        <f>"10960092205"</f>
        <v>10960092205</v>
      </c>
      <c r="F638" s="7" t="str">
        <f t="shared" si="31"/>
        <v>22</v>
      </c>
      <c r="G638" s="7" t="str">
        <f>"05"</f>
        <v>05</v>
      </c>
      <c r="H638" s="7" t="s">
        <v>45</v>
      </c>
      <c r="I638" s="7">
        <v>59.6</v>
      </c>
      <c r="J638" s="9"/>
    </row>
    <row r="639" ht="14.25" spans="1:10">
      <c r="A639" s="7" t="s">
        <v>649</v>
      </c>
      <c r="B639" s="7" t="s">
        <v>650</v>
      </c>
      <c r="C639" s="7" t="str">
        <f t="shared" si="29"/>
        <v>男</v>
      </c>
      <c r="D639" s="7" t="str">
        <f>"411323199611180012"</f>
        <v>411323199611180012</v>
      </c>
      <c r="E639" s="8" t="str">
        <f>"10960112206"</f>
        <v>10960112206</v>
      </c>
      <c r="F639" s="7" t="str">
        <f t="shared" si="31"/>
        <v>22</v>
      </c>
      <c r="G639" s="7" t="str">
        <f>"06"</f>
        <v>06</v>
      </c>
      <c r="H639" s="7" t="s">
        <v>13</v>
      </c>
      <c r="I639" s="7" t="s">
        <v>14</v>
      </c>
      <c r="J639" s="9"/>
    </row>
    <row r="640" ht="14.25" spans="1:10">
      <c r="A640" s="7" t="s">
        <v>649</v>
      </c>
      <c r="B640" s="7" t="s">
        <v>651</v>
      </c>
      <c r="C640" s="7" t="str">
        <f t="shared" si="29"/>
        <v>男</v>
      </c>
      <c r="D640" s="7" t="str">
        <f>"411325199410080739"</f>
        <v>411325199410080739</v>
      </c>
      <c r="E640" s="8" t="str">
        <f>"10960112207"</f>
        <v>10960112207</v>
      </c>
      <c r="F640" s="7" t="str">
        <f t="shared" si="31"/>
        <v>22</v>
      </c>
      <c r="G640" s="7" t="str">
        <f>"07"</f>
        <v>07</v>
      </c>
      <c r="H640" s="7" t="s">
        <v>13</v>
      </c>
      <c r="I640" s="7">
        <v>62.1</v>
      </c>
      <c r="J640" s="9"/>
    </row>
    <row r="641" ht="14.25" spans="1:10">
      <c r="A641" s="7" t="s">
        <v>649</v>
      </c>
      <c r="B641" s="7" t="s">
        <v>652</v>
      </c>
      <c r="C641" s="7" t="str">
        <f t="shared" si="29"/>
        <v>男</v>
      </c>
      <c r="D641" s="7" t="str">
        <f>"411329199908262834"</f>
        <v>411329199908262834</v>
      </c>
      <c r="E641" s="8" t="str">
        <f>"10960112208"</f>
        <v>10960112208</v>
      </c>
      <c r="F641" s="7" t="str">
        <f t="shared" si="31"/>
        <v>22</v>
      </c>
      <c r="G641" s="7" t="str">
        <f>"08"</f>
        <v>08</v>
      </c>
      <c r="H641" s="7" t="s">
        <v>13</v>
      </c>
      <c r="I641" s="7" t="s">
        <v>14</v>
      </c>
      <c r="J641" s="9"/>
    </row>
    <row r="642" ht="14.25" spans="1:10">
      <c r="A642" s="7" t="s">
        <v>649</v>
      </c>
      <c r="B642" s="7" t="s">
        <v>653</v>
      </c>
      <c r="C642" s="7" t="str">
        <f t="shared" si="29"/>
        <v>男</v>
      </c>
      <c r="D642" s="7" t="str">
        <f>"411303199301170016"</f>
        <v>411303199301170016</v>
      </c>
      <c r="E642" s="8" t="str">
        <f>"10960112209"</f>
        <v>10960112209</v>
      </c>
      <c r="F642" s="7" t="str">
        <f t="shared" si="31"/>
        <v>22</v>
      </c>
      <c r="G642" s="7" t="str">
        <f>"09"</f>
        <v>09</v>
      </c>
      <c r="H642" s="7" t="s">
        <v>13</v>
      </c>
      <c r="I642" s="7">
        <v>58.1</v>
      </c>
      <c r="J642" s="9"/>
    </row>
    <row r="643" ht="14.25" spans="1:10">
      <c r="A643" s="7" t="s">
        <v>649</v>
      </c>
      <c r="B643" s="7" t="s">
        <v>654</v>
      </c>
      <c r="C643" s="7" t="str">
        <f t="shared" si="29"/>
        <v>男</v>
      </c>
      <c r="D643" s="7" t="str">
        <f>"411323199712020050"</f>
        <v>411323199712020050</v>
      </c>
      <c r="E643" s="8" t="str">
        <f>"10960112210"</f>
        <v>10960112210</v>
      </c>
      <c r="F643" s="7" t="str">
        <f t="shared" si="31"/>
        <v>22</v>
      </c>
      <c r="G643" s="7" t="str">
        <f>"10"</f>
        <v>10</v>
      </c>
      <c r="H643" s="7" t="s">
        <v>13</v>
      </c>
      <c r="I643" s="7" t="s">
        <v>14</v>
      </c>
      <c r="J643" s="9"/>
    </row>
    <row r="644" ht="14.25" spans="1:10">
      <c r="A644" s="7" t="s">
        <v>649</v>
      </c>
      <c r="B644" s="7" t="s">
        <v>655</v>
      </c>
      <c r="C644" s="7" t="str">
        <f t="shared" ref="C644:C707" si="32">IF(MOD(MID(D644,17,1),2),"男","女")</f>
        <v>女</v>
      </c>
      <c r="D644" s="7" t="str">
        <f>"411302199708230029"</f>
        <v>411302199708230029</v>
      </c>
      <c r="E644" s="8" t="str">
        <f>"10960112211"</f>
        <v>10960112211</v>
      </c>
      <c r="F644" s="7" t="str">
        <f t="shared" si="31"/>
        <v>22</v>
      </c>
      <c r="G644" s="7" t="str">
        <f>"11"</f>
        <v>11</v>
      </c>
      <c r="H644" s="7" t="s">
        <v>13</v>
      </c>
      <c r="I644" s="7">
        <v>60</v>
      </c>
      <c r="J644" s="9"/>
    </row>
    <row r="645" ht="14.25" spans="1:10">
      <c r="A645" s="7" t="s">
        <v>649</v>
      </c>
      <c r="B645" s="7" t="s">
        <v>656</v>
      </c>
      <c r="C645" s="7" t="str">
        <f t="shared" si="32"/>
        <v>男</v>
      </c>
      <c r="D645" s="7" t="str">
        <f>"411303199409105531"</f>
        <v>411303199409105531</v>
      </c>
      <c r="E645" s="8" t="str">
        <f>"10960112212"</f>
        <v>10960112212</v>
      </c>
      <c r="F645" s="7" t="str">
        <f t="shared" si="31"/>
        <v>22</v>
      </c>
      <c r="G645" s="7" t="str">
        <f>"12"</f>
        <v>12</v>
      </c>
      <c r="H645" s="7" t="s">
        <v>13</v>
      </c>
      <c r="I645" s="7">
        <v>68.6</v>
      </c>
      <c r="J645" s="9"/>
    </row>
    <row r="646" ht="14.25" spans="1:10">
      <c r="A646" s="7" t="s">
        <v>649</v>
      </c>
      <c r="B646" s="7" t="s">
        <v>657</v>
      </c>
      <c r="C646" s="7" t="str">
        <f t="shared" si="32"/>
        <v>男</v>
      </c>
      <c r="D646" s="7" t="str">
        <f>"411322199502016110"</f>
        <v>411322199502016110</v>
      </c>
      <c r="E646" s="8" t="str">
        <f>"10960112213"</f>
        <v>10960112213</v>
      </c>
      <c r="F646" s="7" t="str">
        <f t="shared" si="31"/>
        <v>22</v>
      </c>
      <c r="G646" s="7" t="str">
        <f>"13"</f>
        <v>13</v>
      </c>
      <c r="H646" s="7" t="s">
        <v>13</v>
      </c>
      <c r="I646" s="7" t="s">
        <v>14</v>
      </c>
      <c r="J646" s="9"/>
    </row>
    <row r="647" ht="14.25" spans="1:10">
      <c r="A647" s="7" t="s">
        <v>649</v>
      </c>
      <c r="B647" s="7" t="s">
        <v>658</v>
      </c>
      <c r="C647" s="7" t="str">
        <f t="shared" si="32"/>
        <v>男</v>
      </c>
      <c r="D647" s="7" t="str">
        <f>"411303199801042117"</f>
        <v>411303199801042117</v>
      </c>
      <c r="E647" s="8" t="str">
        <f>"10960112214"</f>
        <v>10960112214</v>
      </c>
      <c r="F647" s="7" t="str">
        <f t="shared" si="31"/>
        <v>22</v>
      </c>
      <c r="G647" s="7" t="str">
        <f>"14"</f>
        <v>14</v>
      </c>
      <c r="H647" s="7" t="s">
        <v>13</v>
      </c>
      <c r="I647" s="7">
        <v>71.3</v>
      </c>
      <c r="J647" s="9"/>
    </row>
    <row r="648" ht="14.25" spans="1:10">
      <c r="A648" s="7" t="s">
        <v>649</v>
      </c>
      <c r="B648" s="7" t="s">
        <v>659</v>
      </c>
      <c r="C648" s="7" t="str">
        <f t="shared" si="32"/>
        <v>男</v>
      </c>
      <c r="D648" s="7" t="str">
        <f>"41132519980102075X"</f>
        <v>41132519980102075X</v>
      </c>
      <c r="E648" s="8" t="str">
        <f>"10960112215"</f>
        <v>10960112215</v>
      </c>
      <c r="F648" s="7" t="str">
        <f t="shared" si="31"/>
        <v>22</v>
      </c>
      <c r="G648" s="7" t="str">
        <f>"15"</f>
        <v>15</v>
      </c>
      <c r="H648" s="7" t="s">
        <v>13</v>
      </c>
      <c r="I648" s="7">
        <v>57</v>
      </c>
      <c r="J648" s="9"/>
    </row>
    <row r="649" ht="14.25" spans="1:10">
      <c r="A649" s="7" t="s">
        <v>649</v>
      </c>
      <c r="B649" s="7" t="s">
        <v>660</v>
      </c>
      <c r="C649" s="7" t="str">
        <f t="shared" si="32"/>
        <v>男</v>
      </c>
      <c r="D649" s="7" t="str">
        <f>"411303199803011816"</f>
        <v>411303199803011816</v>
      </c>
      <c r="E649" s="8" t="str">
        <f>"10960112216"</f>
        <v>10960112216</v>
      </c>
      <c r="F649" s="7" t="str">
        <f t="shared" si="31"/>
        <v>22</v>
      </c>
      <c r="G649" s="7" t="str">
        <f>"16"</f>
        <v>16</v>
      </c>
      <c r="H649" s="7" t="s">
        <v>13</v>
      </c>
      <c r="I649" s="7" t="s">
        <v>14</v>
      </c>
      <c r="J649" s="9"/>
    </row>
    <row r="650" ht="14.25" spans="1:10">
      <c r="A650" s="7" t="s">
        <v>649</v>
      </c>
      <c r="B650" s="7" t="s">
        <v>661</v>
      </c>
      <c r="C650" s="7" t="str">
        <f t="shared" si="32"/>
        <v>男</v>
      </c>
      <c r="D650" s="7" t="str">
        <f>"411325199709260419"</f>
        <v>411325199709260419</v>
      </c>
      <c r="E650" s="8" t="str">
        <f>"10960112217"</f>
        <v>10960112217</v>
      </c>
      <c r="F650" s="7" t="str">
        <f t="shared" si="31"/>
        <v>22</v>
      </c>
      <c r="G650" s="7" t="str">
        <f>"17"</f>
        <v>17</v>
      </c>
      <c r="H650" s="7" t="s">
        <v>13</v>
      </c>
      <c r="I650" s="7">
        <v>62.8</v>
      </c>
      <c r="J650" s="9"/>
    </row>
    <row r="651" ht="14.25" spans="1:10">
      <c r="A651" s="7" t="s">
        <v>649</v>
      </c>
      <c r="B651" s="7" t="s">
        <v>662</v>
      </c>
      <c r="C651" s="7" t="str">
        <f t="shared" si="32"/>
        <v>男</v>
      </c>
      <c r="D651" s="7" t="str">
        <f>"412822199304061875"</f>
        <v>412822199304061875</v>
      </c>
      <c r="E651" s="8" t="str">
        <f>"10960112218"</f>
        <v>10960112218</v>
      </c>
      <c r="F651" s="7" t="str">
        <f t="shared" si="31"/>
        <v>22</v>
      </c>
      <c r="G651" s="7" t="str">
        <f>"18"</f>
        <v>18</v>
      </c>
      <c r="H651" s="7" t="s">
        <v>13</v>
      </c>
      <c r="I651" s="7">
        <v>60.1</v>
      </c>
      <c r="J651" s="9"/>
    </row>
    <row r="652" ht="14.25" spans="1:10">
      <c r="A652" s="7" t="s">
        <v>649</v>
      </c>
      <c r="B652" s="7" t="s">
        <v>663</v>
      </c>
      <c r="C652" s="7" t="str">
        <f t="shared" si="32"/>
        <v>男</v>
      </c>
      <c r="D652" s="7" t="str">
        <f>"411325199608254116"</f>
        <v>411325199608254116</v>
      </c>
      <c r="E652" s="8" t="str">
        <f>"10960112219"</f>
        <v>10960112219</v>
      </c>
      <c r="F652" s="7" t="str">
        <f t="shared" si="31"/>
        <v>22</v>
      </c>
      <c r="G652" s="7" t="str">
        <f>"19"</f>
        <v>19</v>
      </c>
      <c r="H652" s="7" t="s">
        <v>13</v>
      </c>
      <c r="I652" s="7" t="s">
        <v>14</v>
      </c>
      <c r="J652" s="9"/>
    </row>
    <row r="653" ht="14.25" spans="1:10">
      <c r="A653" s="7" t="s">
        <v>649</v>
      </c>
      <c r="B653" s="7" t="s">
        <v>664</v>
      </c>
      <c r="C653" s="7" t="str">
        <f t="shared" si="32"/>
        <v>女</v>
      </c>
      <c r="D653" s="7" t="str">
        <f>"411303199012203408"</f>
        <v>411303199012203408</v>
      </c>
      <c r="E653" s="8" t="str">
        <f>"10960112220"</f>
        <v>10960112220</v>
      </c>
      <c r="F653" s="7" t="str">
        <f t="shared" si="31"/>
        <v>22</v>
      </c>
      <c r="G653" s="7" t="str">
        <f>"20"</f>
        <v>20</v>
      </c>
      <c r="H653" s="7" t="s">
        <v>13</v>
      </c>
      <c r="I653" s="7" t="s">
        <v>14</v>
      </c>
      <c r="J653" s="9"/>
    </row>
    <row r="654" ht="14.25" spans="1:10">
      <c r="A654" s="7" t="s">
        <v>649</v>
      </c>
      <c r="B654" s="7" t="s">
        <v>665</v>
      </c>
      <c r="C654" s="7" t="str">
        <f t="shared" si="32"/>
        <v>男</v>
      </c>
      <c r="D654" s="7" t="str">
        <f>"411325199108060438"</f>
        <v>411325199108060438</v>
      </c>
      <c r="E654" s="8" t="str">
        <f>"10960112221"</f>
        <v>10960112221</v>
      </c>
      <c r="F654" s="7" t="str">
        <f t="shared" si="31"/>
        <v>22</v>
      </c>
      <c r="G654" s="7" t="str">
        <f>"21"</f>
        <v>21</v>
      </c>
      <c r="H654" s="7" t="s">
        <v>13</v>
      </c>
      <c r="I654" s="7">
        <v>61.3</v>
      </c>
      <c r="J654" s="9"/>
    </row>
    <row r="655" ht="14.25" spans="1:10">
      <c r="A655" s="7" t="s">
        <v>649</v>
      </c>
      <c r="B655" s="7" t="s">
        <v>666</v>
      </c>
      <c r="C655" s="7" t="str">
        <f t="shared" si="32"/>
        <v>男</v>
      </c>
      <c r="D655" s="7" t="str">
        <f>"411328199303107317"</f>
        <v>411328199303107317</v>
      </c>
      <c r="E655" s="8" t="str">
        <f>"10960112222"</f>
        <v>10960112222</v>
      </c>
      <c r="F655" s="7" t="str">
        <f t="shared" si="31"/>
        <v>22</v>
      </c>
      <c r="G655" s="7" t="str">
        <f>"22"</f>
        <v>22</v>
      </c>
      <c r="H655" s="7" t="s">
        <v>13</v>
      </c>
      <c r="I655" s="7" t="s">
        <v>14</v>
      </c>
      <c r="J655" s="9"/>
    </row>
    <row r="656" ht="14.25" spans="1:10">
      <c r="A656" s="7" t="s">
        <v>649</v>
      </c>
      <c r="B656" s="7" t="s">
        <v>667</v>
      </c>
      <c r="C656" s="7" t="str">
        <f t="shared" si="32"/>
        <v>男</v>
      </c>
      <c r="D656" s="7" t="str">
        <f>"411325199701203532"</f>
        <v>411325199701203532</v>
      </c>
      <c r="E656" s="8" t="str">
        <f>"10960112223"</f>
        <v>10960112223</v>
      </c>
      <c r="F656" s="7" t="str">
        <f t="shared" si="31"/>
        <v>22</v>
      </c>
      <c r="G656" s="7" t="str">
        <f>"23"</f>
        <v>23</v>
      </c>
      <c r="H656" s="7" t="s">
        <v>13</v>
      </c>
      <c r="I656" s="7">
        <v>52</v>
      </c>
      <c r="J656" s="9"/>
    </row>
    <row r="657" ht="14.25" spans="1:10">
      <c r="A657" s="7" t="s">
        <v>649</v>
      </c>
      <c r="B657" s="7" t="s">
        <v>668</v>
      </c>
      <c r="C657" s="7" t="str">
        <f t="shared" si="32"/>
        <v>男</v>
      </c>
      <c r="D657" s="7" t="str">
        <f>"411325199601080416"</f>
        <v>411325199601080416</v>
      </c>
      <c r="E657" s="8" t="str">
        <f>"10960112224"</f>
        <v>10960112224</v>
      </c>
      <c r="F657" s="7" t="str">
        <f t="shared" si="31"/>
        <v>22</v>
      </c>
      <c r="G657" s="7" t="str">
        <f>"24"</f>
        <v>24</v>
      </c>
      <c r="H657" s="7" t="s">
        <v>13</v>
      </c>
      <c r="I657" s="7">
        <v>53.6</v>
      </c>
      <c r="J657" s="9"/>
    </row>
    <row r="658" ht="14.25" spans="1:10">
      <c r="A658" s="7" t="s">
        <v>649</v>
      </c>
      <c r="B658" s="7" t="s">
        <v>669</v>
      </c>
      <c r="C658" s="7" t="str">
        <f t="shared" si="32"/>
        <v>男</v>
      </c>
      <c r="D658" s="7" t="str">
        <f>"411381199209210432"</f>
        <v>411381199209210432</v>
      </c>
      <c r="E658" s="8" t="str">
        <f>"10960112225"</f>
        <v>10960112225</v>
      </c>
      <c r="F658" s="7" t="str">
        <f t="shared" si="31"/>
        <v>22</v>
      </c>
      <c r="G658" s="7" t="str">
        <f>"25"</f>
        <v>25</v>
      </c>
      <c r="H658" s="7" t="s">
        <v>13</v>
      </c>
      <c r="I658" s="7">
        <v>77.3</v>
      </c>
      <c r="J658" s="9"/>
    </row>
    <row r="659" ht="14.25" spans="1:10">
      <c r="A659" s="7" t="s">
        <v>649</v>
      </c>
      <c r="B659" s="7" t="s">
        <v>670</v>
      </c>
      <c r="C659" s="7" t="str">
        <f t="shared" si="32"/>
        <v>男</v>
      </c>
      <c r="D659" s="7" t="str">
        <f>"411325199105240417"</f>
        <v>411325199105240417</v>
      </c>
      <c r="E659" s="8" t="str">
        <f>"10960112226"</f>
        <v>10960112226</v>
      </c>
      <c r="F659" s="7" t="str">
        <f t="shared" si="31"/>
        <v>22</v>
      </c>
      <c r="G659" s="7" t="str">
        <f>"26"</f>
        <v>26</v>
      </c>
      <c r="H659" s="7" t="s">
        <v>13</v>
      </c>
      <c r="I659" s="7">
        <v>62.6</v>
      </c>
      <c r="J659" s="9"/>
    </row>
    <row r="660" ht="14.25" spans="1:10">
      <c r="A660" s="7" t="s">
        <v>649</v>
      </c>
      <c r="B660" s="7" t="s">
        <v>671</v>
      </c>
      <c r="C660" s="7" t="str">
        <f t="shared" si="32"/>
        <v>男</v>
      </c>
      <c r="D660" s="7" t="str">
        <f>"411325199509115516"</f>
        <v>411325199509115516</v>
      </c>
      <c r="E660" s="8" t="str">
        <f>"10960112227"</f>
        <v>10960112227</v>
      </c>
      <c r="F660" s="7" t="str">
        <f t="shared" si="31"/>
        <v>22</v>
      </c>
      <c r="G660" s="7" t="str">
        <f>"27"</f>
        <v>27</v>
      </c>
      <c r="H660" s="7" t="s">
        <v>13</v>
      </c>
      <c r="I660" s="7">
        <v>53.1</v>
      </c>
      <c r="J660" s="9"/>
    </row>
    <row r="661" ht="14.25" spans="1:10">
      <c r="A661" s="7" t="s">
        <v>649</v>
      </c>
      <c r="B661" s="7" t="s">
        <v>672</v>
      </c>
      <c r="C661" s="7" t="str">
        <f t="shared" si="32"/>
        <v>男</v>
      </c>
      <c r="D661" s="7" t="str">
        <f>"411325199401280413"</f>
        <v>411325199401280413</v>
      </c>
      <c r="E661" s="8" t="str">
        <f>"10960112228"</f>
        <v>10960112228</v>
      </c>
      <c r="F661" s="7" t="str">
        <f t="shared" si="31"/>
        <v>22</v>
      </c>
      <c r="G661" s="7" t="str">
        <f>"28"</f>
        <v>28</v>
      </c>
      <c r="H661" s="7" t="s">
        <v>13</v>
      </c>
      <c r="I661" s="7">
        <v>61.2</v>
      </c>
      <c r="J661" s="9"/>
    </row>
    <row r="662" ht="14.25" spans="1:10">
      <c r="A662" s="7" t="s">
        <v>649</v>
      </c>
      <c r="B662" s="7" t="s">
        <v>673</v>
      </c>
      <c r="C662" s="7" t="str">
        <f t="shared" si="32"/>
        <v>男</v>
      </c>
      <c r="D662" s="7" t="str">
        <f>"411328199508160015"</f>
        <v>411328199508160015</v>
      </c>
      <c r="E662" s="8" t="str">
        <f>"10960112229"</f>
        <v>10960112229</v>
      </c>
      <c r="F662" s="7" t="str">
        <f t="shared" si="31"/>
        <v>22</v>
      </c>
      <c r="G662" s="7" t="str">
        <f>"29"</f>
        <v>29</v>
      </c>
      <c r="H662" s="7" t="s">
        <v>13</v>
      </c>
      <c r="I662" s="7">
        <v>65.3</v>
      </c>
      <c r="J662" s="9"/>
    </row>
    <row r="663" ht="14.25" spans="1:10">
      <c r="A663" s="7" t="s">
        <v>649</v>
      </c>
      <c r="B663" s="7" t="s">
        <v>674</v>
      </c>
      <c r="C663" s="7" t="str">
        <f t="shared" si="32"/>
        <v>男</v>
      </c>
      <c r="D663" s="7" t="str">
        <f>"411325199602022314"</f>
        <v>411325199602022314</v>
      </c>
      <c r="E663" s="8" t="str">
        <f>"10960112230"</f>
        <v>10960112230</v>
      </c>
      <c r="F663" s="7" t="str">
        <f t="shared" si="31"/>
        <v>22</v>
      </c>
      <c r="G663" s="7" t="str">
        <f>"30"</f>
        <v>30</v>
      </c>
      <c r="H663" s="7" t="s">
        <v>13</v>
      </c>
      <c r="I663" s="7">
        <v>71.1</v>
      </c>
      <c r="J663" s="9"/>
    </row>
    <row r="664" ht="14.25" spans="1:10">
      <c r="A664" s="7" t="s">
        <v>649</v>
      </c>
      <c r="B664" s="7" t="s">
        <v>675</v>
      </c>
      <c r="C664" s="7" t="str">
        <f t="shared" si="32"/>
        <v>男</v>
      </c>
      <c r="D664" s="7" t="str">
        <f>"412822199109166575"</f>
        <v>412822199109166575</v>
      </c>
      <c r="E664" s="8" t="str">
        <f>"10960112301"</f>
        <v>10960112301</v>
      </c>
      <c r="F664" s="7" t="str">
        <f t="shared" ref="F664:F693" si="33">"23"</f>
        <v>23</v>
      </c>
      <c r="G664" s="7" t="str">
        <f>"01"</f>
        <v>01</v>
      </c>
      <c r="H664" s="7" t="s">
        <v>13</v>
      </c>
      <c r="I664" s="7" t="s">
        <v>14</v>
      </c>
      <c r="J664" s="9"/>
    </row>
    <row r="665" ht="14.25" spans="1:10">
      <c r="A665" s="7" t="s">
        <v>649</v>
      </c>
      <c r="B665" s="7" t="s">
        <v>676</v>
      </c>
      <c r="C665" s="7" t="str">
        <f t="shared" si="32"/>
        <v>男</v>
      </c>
      <c r="D665" s="7" t="str">
        <f>"411325199610256516"</f>
        <v>411325199610256516</v>
      </c>
      <c r="E665" s="8" t="str">
        <f>"10960112302"</f>
        <v>10960112302</v>
      </c>
      <c r="F665" s="7" t="str">
        <f t="shared" si="33"/>
        <v>23</v>
      </c>
      <c r="G665" s="7" t="str">
        <f>"02"</f>
        <v>02</v>
      </c>
      <c r="H665" s="7" t="s">
        <v>13</v>
      </c>
      <c r="I665" s="7" t="s">
        <v>14</v>
      </c>
      <c r="J665" s="9"/>
    </row>
    <row r="666" ht="14.25" spans="1:10">
      <c r="A666" s="7" t="s">
        <v>649</v>
      </c>
      <c r="B666" s="7" t="s">
        <v>677</v>
      </c>
      <c r="C666" s="7" t="str">
        <f t="shared" si="32"/>
        <v>男</v>
      </c>
      <c r="D666" s="7" t="str">
        <f>"411328199701146215"</f>
        <v>411328199701146215</v>
      </c>
      <c r="E666" s="8" t="str">
        <f>"10960112303"</f>
        <v>10960112303</v>
      </c>
      <c r="F666" s="7" t="str">
        <f t="shared" si="33"/>
        <v>23</v>
      </c>
      <c r="G666" s="7" t="str">
        <f>"03"</f>
        <v>03</v>
      </c>
      <c r="H666" s="7" t="s">
        <v>13</v>
      </c>
      <c r="I666" s="7" t="s">
        <v>14</v>
      </c>
      <c r="J666" s="9"/>
    </row>
    <row r="667" ht="14.25" spans="1:10">
      <c r="A667" s="7" t="s">
        <v>649</v>
      </c>
      <c r="B667" s="7" t="s">
        <v>678</v>
      </c>
      <c r="C667" s="7" t="str">
        <f t="shared" si="32"/>
        <v>男</v>
      </c>
      <c r="D667" s="7" t="str">
        <f>"411321199309230311"</f>
        <v>411321199309230311</v>
      </c>
      <c r="E667" s="8" t="str">
        <f>"10960112304"</f>
        <v>10960112304</v>
      </c>
      <c r="F667" s="7" t="str">
        <f t="shared" si="33"/>
        <v>23</v>
      </c>
      <c r="G667" s="7" t="str">
        <f>"04"</f>
        <v>04</v>
      </c>
      <c r="H667" s="7" t="s">
        <v>13</v>
      </c>
      <c r="I667" s="7">
        <v>72</v>
      </c>
      <c r="J667" s="9"/>
    </row>
    <row r="668" ht="14.25" spans="1:10">
      <c r="A668" s="7" t="s">
        <v>649</v>
      </c>
      <c r="B668" s="7" t="s">
        <v>679</v>
      </c>
      <c r="C668" s="7" t="str">
        <f t="shared" si="32"/>
        <v>男</v>
      </c>
      <c r="D668" s="7" t="str">
        <f>"411325199312058239"</f>
        <v>411325199312058239</v>
      </c>
      <c r="E668" s="8" t="str">
        <f>"10960112305"</f>
        <v>10960112305</v>
      </c>
      <c r="F668" s="7" t="str">
        <f t="shared" si="33"/>
        <v>23</v>
      </c>
      <c r="G668" s="7" t="str">
        <f>"05"</f>
        <v>05</v>
      </c>
      <c r="H668" s="7" t="s">
        <v>13</v>
      </c>
      <c r="I668" s="7">
        <v>62.4</v>
      </c>
      <c r="J668" s="9"/>
    </row>
    <row r="669" ht="14.25" spans="1:10">
      <c r="A669" s="7" t="s">
        <v>649</v>
      </c>
      <c r="B669" s="7" t="s">
        <v>680</v>
      </c>
      <c r="C669" s="7" t="str">
        <f t="shared" si="32"/>
        <v>男</v>
      </c>
      <c r="D669" s="7" t="str">
        <f>"411321199609190032"</f>
        <v>411321199609190032</v>
      </c>
      <c r="E669" s="8" t="str">
        <f>"10960112306"</f>
        <v>10960112306</v>
      </c>
      <c r="F669" s="7" t="str">
        <f t="shared" si="33"/>
        <v>23</v>
      </c>
      <c r="G669" s="7" t="str">
        <f>"06"</f>
        <v>06</v>
      </c>
      <c r="H669" s="7" t="s">
        <v>13</v>
      </c>
      <c r="I669" s="7">
        <v>72.2</v>
      </c>
      <c r="J669" s="9"/>
    </row>
    <row r="670" ht="14.25" spans="1:10">
      <c r="A670" s="7" t="s">
        <v>649</v>
      </c>
      <c r="B670" s="7" t="s">
        <v>681</v>
      </c>
      <c r="C670" s="7" t="str">
        <f t="shared" si="32"/>
        <v>男</v>
      </c>
      <c r="D670" s="7" t="str">
        <f>"411323199106086375"</f>
        <v>411323199106086375</v>
      </c>
      <c r="E670" s="8" t="str">
        <f>"10960112307"</f>
        <v>10960112307</v>
      </c>
      <c r="F670" s="7" t="str">
        <f t="shared" si="33"/>
        <v>23</v>
      </c>
      <c r="G670" s="7" t="str">
        <f>"07"</f>
        <v>07</v>
      </c>
      <c r="H670" s="7" t="s">
        <v>13</v>
      </c>
      <c r="I670" s="7" t="s">
        <v>14</v>
      </c>
      <c r="J670" s="9"/>
    </row>
    <row r="671" ht="14.25" spans="1:10">
      <c r="A671" s="7" t="s">
        <v>649</v>
      </c>
      <c r="B671" s="7" t="s">
        <v>682</v>
      </c>
      <c r="C671" s="7" t="str">
        <f t="shared" si="32"/>
        <v>男</v>
      </c>
      <c r="D671" s="7" t="str">
        <f>"411422199712256919"</f>
        <v>411422199712256919</v>
      </c>
      <c r="E671" s="8" t="str">
        <f>"10960112308"</f>
        <v>10960112308</v>
      </c>
      <c r="F671" s="7" t="str">
        <f t="shared" si="33"/>
        <v>23</v>
      </c>
      <c r="G671" s="7" t="str">
        <f>"08"</f>
        <v>08</v>
      </c>
      <c r="H671" s="7" t="s">
        <v>45</v>
      </c>
      <c r="I671" s="7" t="s">
        <v>14</v>
      </c>
      <c r="J671" s="9"/>
    </row>
    <row r="672" ht="14.25" spans="1:10">
      <c r="A672" s="7" t="s">
        <v>649</v>
      </c>
      <c r="B672" s="7" t="s">
        <v>683</v>
      </c>
      <c r="C672" s="7" t="str">
        <f t="shared" si="32"/>
        <v>男</v>
      </c>
      <c r="D672" s="7" t="str">
        <f>"411325199802030431"</f>
        <v>411325199802030431</v>
      </c>
      <c r="E672" s="8" t="str">
        <f>"10960112309"</f>
        <v>10960112309</v>
      </c>
      <c r="F672" s="7" t="str">
        <f t="shared" si="33"/>
        <v>23</v>
      </c>
      <c r="G672" s="7" t="str">
        <f>"09"</f>
        <v>09</v>
      </c>
      <c r="H672" s="7" t="s">
        <v>45</v>
      </c>
      <c r="I672" s="7">
        <v>62.3</v>
      </c>
      <c r="J672" s="9"/>
    </row>
    <row r="673" ht="14.25" spans="1:10">
      <c r="A673" s="7" t="s">
        <v>649</v>
      </c>
      <c r="B673" s="7" t="s">
        <v>684</v>
      </c>
      <c r="C673" s="7" t="str">
        <f t="shared" si="32"/>
        <v>男</v>
      </c>
      <c r="D673" s="7" t="str">
        <f>"41132319940909441X"</f>
        <v>41132319940909441X</v>
      </c>
      <c r="E673" s="8" t="str">
        <f>"10960112310"</f>
        <v>10960112310</v>
      </c>
      <c r="F673" s="7" t="str">
        <f t="shared" si="33"/>
        <v>23</v>
      </c>
      <c r="G673" s="7" t="str">
        <f>"10"</f>
        <v>10</v>
      </c>
      <c r="H673" s="7" t="s">
        <v>45</v>
      </c>
      <c r="I673" s="7">
        <v>69</v>
      </c>
      <c r="J673" s="9"/>
    </row>
    <row r="674" ht="14.25" spans="1:10">
      <c r="A674" s="7" t="s">
        <v>649</v>
      </c>
      <c r="B674" s="7" t="s">
        <v>685</v>
      </c>
      <c r="C674" s="7" t="str">
        <f t="shared" si="32"/>
        <v>男</v>
      </c>
      <c r="D674" s="7" t="str">
        <f>"411325199708241937"</f>
        <v>411325199708241937</v>
      </c>
      <c r="E674" s="8" t="str">
        <f>"10960112311"</f>
        <v>10960112311</v>
      </c>
      <c r="F674" s="7" t="str">
        <f t="shared" si="33"/>
        <v>23</v>
      </c>
      <c r="G674" s="7" t="str">
        <f>"11"</f>
        <v>11</v>
      </c>
      <c r="H674" s="7" t="s">
        <v>45</v>
      </c>
      <c r="I674" s="7" t="s">
        <v>14</v>
      </c>
      <c r="J674" s="9"/>
    </row>
    <row r="675" ht="14.25" spans="1:10">
      <c r="A675" s="7" t="s">
        <v>649</v>
      </c>
      <c r="B675" s="7" t="s">
        <v>686</v>
      </c>
      <c r="C675" s="7" t="str">
        <f t="shared" si="32"/>
        <v>男</v>
      </c>
      <c r="D675" s="7" t="str">
        <f>"411329199303280757"</f>
        <v>411329199303280757</v>
      </c>
      <c r="E675" s="8" t="str">
        <f>"10960112312"</f>
        <v>10960112312</v>
      </c>
      <c r="F675" s="7" t="str">
        <f t="shared" si="33"/>
        <v>23</v>
      </c>
      <c r="G675" s="7" t="str">
        <f>"12"</f>
        <v>12</v>
      </c>
      <c r="H675" s="7" t="s">
        <v>45</v>
      </c>
      <c r="I675" s="7">
        <v>65.2</v>
      </c>
      <c r="J675" s="9"/>
    </row>
    <row r="676" ht="14.25" spans="1:10">
      <c r="A676" s="7" t="s">
        <v>649</v>
      </c>
      <c r="B676" s="7" t="s">
        <v>687</v>
      </c>
      <c r="C676" s="7" t="str">
        <f t="shared" si="32"/>
        <v>男</v>
      </c>
      <c r="D676" s="7" t="str">
        <f>"410181199410277231"</f>
        <v>410181199410277231</v>
      </c>
      <c r="E676" s="8" t="str">
        <f>"10960112313"</f>
        <v>10960112313</v>
      </c>
      <c r="F676" s="7" t="str">
        <f t="shared" si="33"/>
        <v>23</v>
      </c>
      <c r="G676" s="7" t="str">
        <f>"13"</f>
        <v>13</v>
      </c>
      <c r="H676" s="7" t="s">
        <v>45</v>
      </c>
      <c r="I676" s="7">
        <v>74</v>
      </c>
      <c r="J676" s="9"/>
    </row>
    <row r="677" ht="14.25" spans="1:10">
      <c r="A677" s="7" t="s">
        <v>649</v>
      </c>
      <c r="B677" s="7" t="s">
        <v>688</v>
      </c>
      <c r="C677" s="7" t="str">
        <f t="shared" si="32"/>
        <v>男</v>
      </c>
      <c r="D677" s="7" t="str">
        <f>"411326199307272413"</f>
        <v>411326199307272413</v>
      </c>
      <c r="E677" s="8" t="str">
        <f>"10960112314"</f>
        <v>10960112314</v>
      </c>
      <c r="F677" s="7" t="str">
        <f t="shared" si="33"/>
        <v>23</v>
      </c>
      <c r="G677" s="7" t="str">
        <f>"14"</f>
        <v>14</v>
      </c>
      <c r="H677" s="7" t="s">
        <v>45</v>
      </c>
      <c r="I677" s="7">
        <v>70.1</v>
      </c>
      <c r="J677" s="9"/>
    </row>
    <row r="678" ht="14.25" spans="1:10">
      <c r="A678" s="7" t="s">
        <v>649</v>
      </c>
      <c r="B678" s="7" t="s">
        <v>689</v>
      </c>
      <c r="C678" s="7" t="str">
        <f t="shared" si="32"/>
        <v>男</v>
      </c>
      <c r="D678" s="7" t="str">
        <f>"411121199509153532"</f>
        <v>411121199509153532</v>
      </c>
      <c r="E678" s="8" t="str">
        <f>"10960112315"</f>
        <v>10960112315</v>
      </c>
      <c r="F678" s="7" t="str">
        <f t="shared" si="33"/>
        <v>23</v>
      </c>
      <c r="G678" s="7" t="str">
        <f>"15"</f>
        <v>15</v>
      </c>
      <c r="H678" s="7" t="s">
        <v>45</v>
      </c>
      <c r="I678" s="7" t="s">
        <v>14</v>
      </c>
      <c r="J678" s="9"/>
    </row>
    <row r="679" ht="14.25" spans="1:10">
      <c r="A679" s="7" t="s">
        <v>649</v>
      </c>
      <c r="B679" s="7" t="s">
        <v>690</v>
      </c>
      <c r="C679" s="7" t="str">
        <f t="shared" si="32"/>
        <v>男</v>
      </c>
      <c r="D679" s="7" t="str">
        <f>"411302199402164516"</f>
        <v>411302199402164516</v>
      </c>
      <c r="E679" s="8" t="str">
        <f>"10960112316"</f>
        <v>10960112316</v>
      </c>
      <c r="F679" s="7" t="str">
        <f t="shared" si="33"/>
        <v>23</v>
      </c>
      <c r="G679" s="7" t="str">
        <f>"16"</f>
        <v>16</v>
      </c>
      <c r="H679" s="7" t="s">
        <v>45</v>
      </c>
      <c r="I679" s="7">
        <v>67.2</v>
      </c>
      <c r="J679" s="9"/>
    </row>
    <row r="680" ht="14.25" spans="1:10">
      <c r="A680" s="7" t="s">
        <v>649</v>
      </c>
      <c r="B680" s="7" t="s">
        <v>691</v>
      </c>
      <c r="C680" s="7" t="str">
        <f t="shared" si="32"/>
        <v>男</v>
      </c>
      <c r="D680" s="7" t="str">
        <f>"411302199404202838"</f>
        <v>411302199404202838</v>
      </c>
      <c r="E680" s="8" t="str">
        <f>"10960112317"</f>
        <v>10960112317</v>
      </c>
      <c r="F680" s="7" t="str">
        <f t="shared" si="33"/>
        <v>23</v>
      </c>
      <c r="G680" s="7" t="str">
        <f>"17"</f>
        <v>17</v>
      </c>
      <c r="H680" s="7" t="s">
        <v>45</v>
      </c>
      <c r="I680" s="7">
        <v>70.7</v>
      </c>
      <c r="J680" s="9"/>
    </row>
    <row r="681" ht="14.25" spans="1:10">
      <c r="A681" s="7" t="s">
        <v>649</v>
      </c>
      <c r="B681" s="7" t="s">
        <v>692</v>
      </c>
      <c r="C681" s="7" t="str">
        <f t="shared" si="32"/>
        <v>女</v>
      </c>
      <c r="D681" s="7" t="str">
        <f>"411325199303162966"</f>
        <v>411325199303162966</v>
      </c>
      <c r="E681" s="8" t="str">
        <f>"10960112318"</f>
        <v>10960112318</v>
      </c>
      <c r="F681" s="7" t="str">
        <f t="shared" si="33"/>
        <v>23</v>
      </c>
      <c r="G681" s="7" t="str">
        <f>"18"</f>
        <v>18</v>
      </c>
      <c r="H681" s="7" t="s">
        <v>45</v>
      </c>
      <c r="I681" s="7" t="s">
        <v>14</v>
      </c>
      <c r="J681" s="9"/>
    </row>
    <row r="682" ht="14.25" spans="1:10">
      <c r="A682" s="7" t="s">
        <v>649</v>
      </c>
      <c r="B682" s="7" t="s">
        <v>693</v>
      </c>
      <c r="C682" s="7" t="str">
        <f t="shared" si="32"/>
        <v>女</v>
      </c>
      <c r="D682" s="7" t="str">
        <f>"411327199107034521"</f>
        <v>411327199107034521</v>
      </c>
      <c r="E682" s="8" t="str">
        <f>"10960112319"</f>
        <v>10960112319</v>
      </c>
      <c r="F682" s="7" t="str">
        <f t="shared" si="33"/>
        <v>23</v>
      </c>
      <c r="G682" s="7" t="str">
        <f>"19"</f>
        <v>19</v>
      </c>
      <c r="H682" s="7" t="s">
        <v>45</v>
      </c>
      <c r="I682" s="7" t="s">
        <v>14</v>
      </c>
      <c r="J682" s="9"/>
    </row>
    <row r="683" ht="14.25" spans="1:10">
      <c r="A683" s="7" t="s">
        <v>649</v>
      </c>
      <c r="B683" s="7" t="s">
        <v>694</v>
      </c>
      <c r="C683" s="7" t="str">
        <f t="shared" si="32"/>
        <v>男</v>
      </c>
      <c r="D683" s="7" t="str">
        <f>"411325199710280417"</f>
        <v>411325199710280417</v>
      </c>
      <c r="E683" s="8" t="str">
        <f>"10960112320"</f>
        <v>10960112320</v>
      </c>
      <c r="F683" s="7" t="str">
        <f t="shared" si="33"/>
        <v>23</v>
      </c>
      <c r="G683" s="7" t="str">
        <f>"20"</f>
        <v>20</v>
      </c>
      <c r="H683" s="7" t="s">
        <v>45</v>
      </c>
      <c r="I683" s="7">
        <v>67.3</v>
      </c>
      <c r="J683" s="9"/>
    </row>
    <row r="684" ht="14.25" spans="1:10">
      <c r="A684" s="7" t="s">
        <v>649</v>
      </c>
      <c r="B684" s="7" t="s">
        <v>695</v>
      </c>
      <c r="C684" s="7" t="str">
        <f t="shared" si="32"/>
        <v>男</v>
      </c>
      <c r="D684" s="7" t="str">
        <f>"411321199502180010"</f>
        <v>411321199502180010</v>
      </c>
      <c r="E684" s="8" t="str">
        <f>"10960112321"</f>
        <v>10960112321</v>
      </c>
      <c r="F684" s="7" t="str">
        <f t="shared" si="33"/>
        <v>23</v>
      </c>
      <c r="G684" s="7" t="str">
        <f>"21"</f>
        <v>21</v>
      </c>
      <c r="H684" s="7" t="s">
        <v>45</v>
      </c>
      <c r="I684" s="7">
        <v>64.3</v>
      </c>
      <c r="J684" s="9"/>
    </row>
    <row r="685" ht="14.25" spans="1:10">
      <c r="A685" s="7" t="s">
        <v>649</v>
      </c>
      <c r="B685" s="7" t="s">
        <v>696</v>
      </c>
      <c r="C685" s="7" t="str">
        <f t="shared" si="32"/>
        <v>男</v>
      </c>
      <c r="D685" s="7" t="str">
        <f>"410181199301093513"</f>
        <v>410181199301093513</v>
      </c>
      <c r="E685" s="8" t="str">
        <f>"10960112322"</f>
        <v>10960112322</v>
      </c>
      <c r="F685" s="7" t="str">
        <f t="shared" si="33"/>
        <v>23</v>
      </c>
      <c r="G685" s="7" t="str">
        <f>"22"</f>
        <v>22</v>
      </c>
      <c r="H685" s="7" t="s">
        <v>45</v>
      </c>
      <c r="I685" s="7">
        <v>68.8</v>
      </c>
      <c r="J685" s="9"/>
    </row>
    <row r="686" ht="14.25" spans="1:10">
      <c r="A686" s="7" t="s">
        <v>649</v>
      </c>
      <c r="B686" s="7" t="s">
        <v>697</v>
      </c>
      <c r="C686" s="7" t="str">
        <f t="shared" si="32"/>
        <v>男</v>
      </c>
      <c r="D686" s="7" t="str">
        <f>"412822199703075510"</f>
        <v>412822199703075510</v>
      </c>
      <c r="E686" s="8" t="str">
        <f>"10960112323"</f>
        <v>10960112323</v>
      </c>
      <c r="F686" s="7" t="str">
        <f t="shared" si="33"/>
        <v>23</v>
      </c>
      <c r="G686" s="7" t="str">
        <f>"23"</f>
        <v>23</v>
      </c>
      <c r="H686" s="7" t="s">
        <v>45</v>
      </c>
      <c r="I686" s="7">
        <v>65.5</v>
      </c>
      <c r="J686" s="9"/>
    </row>
    <row r="687" ht="14.25" spans="1:10">
      <c r="A687" s="7" t="s">
        <v>649</v>
      </c>
      <c r="B687" s="7" t="s">
        <v>698</v>
      </c>
      <c r="C687" s="7" t="str">
        <f t="shared" si="32"/>
        <v>男</v>
      </c>
      <c r="D687" s="7" t="str">
        <f>"411325199711060416"</f>
        <v>411325199711060416</v>
      </c>
      <c r="E687" s="8" t="str">
        <f>"10960112324"</f>
        <v>10960112324</v>
      </c>
      <c r="F687" s="7" t="str">
        <f t="shared" si="33"/>
        <v>23</v>
      </c>
      <c r="G687" s="7" t="str">
        <f>"24"</f>
        <v>24</v>
      </c>
      <c r="H687" s="7" t="s">
        <v>45</v>
      </c>
      <c r="I687" s="7">
        <v>67.3</v>
      </c>
      <c r="J687" s="9"/>
    </row>
    <row r="688" ht="14.25" spans="1:10">
      <c r="A688" s="7" t="s">
        <v>649</v>
      </c>
      <c r="B688" s="7" t="s">
        <v>510</v>
      </c>
      <c r="C688" s="7" t="str">
        <f t="shared" si="32"/>
        <v>女</v>
      </c>
      <c r="D688" s="7" t="str">
        <f>"412822199601203761"</f>
        <v>412822199601203761</v>
      </c>
      <c r="E688" s="8" t="str">
        <f>"10960112325"</f>
        <v>10960112325</v>
      </c>
      <c r="F688" s="7" t="str">
        <f t="shared" si="33"/>
        <v>23</v>
      </c>
      <c r="G688" s="7" t="str">
        <f>"25"</f>
        <v>25</v>
      </c>
      <c r="H688" s="7" t="s">
        <v>45</v>
      </c>
      <c r="I688" s="7">
        <v>68</v>
      </c>
      <c r="J688" s="9"/>
    </row>
    <row r="689" ht="14.25" spans="1:10">
      <c r="A689" s="7" t="s">
        <v>699</v>
      </c>
      <c r="B689" s="7" t="s">
        <v>700</v>
      </c>
      <c r="C689" s="7" t="str">
        <f t="shared" si="32"/>
        <v>女</v>
      </c>
      <c r="D689" s="7" t="str">
        <f>"411303199712241026"</f>
        <v>411303199712241026</v>
      </c>
      <c r="E689" s="8" t="str">
        <f>"10960132326"</f>
        <v>10960132326</v>
      </c>
      <c r="F689" s="7" t="str">
        <f t="shared" si="33"/>
        <v>23</v>
      </c>
      <c r="G689" s="7" t="str">
        <f>"26"</f>
        <v>26</v>
      </c>
      <c r="H689" s="7" t="s">
        <v>13</v>
      </c>
      <c r="I689" s="7">
        <v>65.1</v>
      </c>
      <c r="J689" s="9"/>
    </row>
    <row r="690" ht="14.25" spans="1:10">
      <c r="A690" s="7" t="s">
        <v>699</v>
      </c>
      <c r="B690" s="7" t="s">
        <v>701</v>
      </c>
      <c r="C690" s="7" t="str">
        <f t="shared" si="32"/>
        <v>男</v>
      </c>
      <c r="D690" s="7" t="str">
        <f>"412822199412251991"</f>
        <v>412822199412251991</v>
      </c>
      <c r="E690" s="8" t="str">
        <f>"10960132327"</f>
        <v>10960132327</v>
      </c>
      <c r="F690" s="7" t="str">
        <f t="shared" si="33"/>
        <v>23</v>
      </c>
      <c r="G690" s="7" t="str">
        <f>"27"</f>
        <v>27</v>
      </c>
      <c r="H690" s="7" t="s">
        <v>13</v>
      </c>
      <c r="I690" s="7">
        <v>64.8</v>
      </c>
      <c r="J690" s="9"/>
    </row>
    <row r="691" ht="14.25" spans="1:10">
      <c r="A691" s="7" t="s">
        <v>699</v>
      </c>
      <c r="B691" s="7" t="s">
        <v>702</v>
      </c>
      <c r="C691" s="7" t="str">
        <f t="shared" si="32"/>
        <v>男</v>
      </c>
      <c r="D691" s="7" t="str">
        <f>"411325199009215510"</f>
        <v>411325199009215510</v>
      </c>
      <c r="E691" s="8" t="str">
        <f>"10960132328"</f>
        <v>10960132328</v>
      </c>
      <c r="F691" s="7" t="str">
        <f t="shared" si="33"/>
        <v>23</v>
      </c>
      <c r="G691" s="7" t="str">
        <f>"28"</f>
        <v>28</v>
      </c>
      <c r="H691" s="7" t="s">
        <v>13</v>
      </c>
      <c r="I691" s="7" t="s">
        <v>14</v>
      </c>
      <c r="J691" s="9"/>
    </row>
    <row r="692" ht="14.25" spans="1:10">
      <c r="A692" s="7" t="s">
        <v>699</v>
      </c>
      <c r="B692" s="7" t="s">
        <v>703</v>
      </c>
      <c r="C692" s="7" t="str">
        <f t="shared" si="32"/>
        <v>男</v>
      </c>
      <c r="D692" s="7" t="str">
        <f>"411381199410187115"</f>
        <v>411381199410187115</v>
      </c>
      <c r="E692" s="8" t="str">
        <f>"10960132329"</f>
        <v>10960132329</v>
      </c>
      <c r="F692" s="7" t="str">
        <f t="shared" si="33"/>
        <v>23</v>
      </c>
      <c r="G692" s="7" t="str">
        <f>"29"</f>
        <v>29</v>
      </c>
      <c r="H692" s="7" t="s">
        <v>13</v>
      </c>
      <c r="I692" s="7" t="s">
        <v>14</v>
      </c>
      <c r="J692" s="9"/>
    </row>
    <row r="693" ht="14.25" spans="1:10">
      <c r="A693" s="7" t="s">
        <v>699</v>
      </c>
      <c r="B693" s="7" t="s">
        <v>704</v>
      </c>
      <c r="C693" s="7" t="str">
        <f t="shared" si="32"/>
        <v>男</v>
      </c>
      <c r="D693" s="7" t="str">
        <f>"411023199212011557"</f>
        <v>411023199212011557</v>
      </c>
      <c r="E693" s="8" t="str">
        <f>"10960132330"</f>
        <v>10960132330</v>
      </c>
      <c r="F693" s="7" t="str">
        <f t="shared" si="33"/>
        <v>23</v>
      </c>
      <c r="G693" s="7" t="str">
        <f>"30"</f>
        <v>30</v>
      </c>
      <c r="H693" s="7" t="s">
        <v>45</v>
      </c>
      <c r="I693" s="7" t="s">
        <v>14</v>
      </c>
      <c r="J693" s="9"/>
    </row>
    <row r="694" ht="14.25" spans="1:10">
      <c r="A694" s="7" t="s">
        <v>699</v>
      </c>
      <c r="B694" s="7" t="s">
        <v>705</v>
      </c>
      <c r="C694" s="7" t="str">
        <f t="shared" si="32"/>
        <v>男</v>
      </c>
      <c r="D694" s="7" t="str">
        <f>"41132419950410001X"</f>
        <v>41132419950410001X</v>
      </c>
      <c r="E694" s="8" t="str">
        <f>"10960132401"</f>
        <v>10960132401</v>
      </c>
      <c r="F694" s="7" t="str">
        <f t="shared" ref="F694:F723" si="34">"24"</f>
        <v>24</v>
      </c>
      <c r="G694" s="7" t="str">
        <f>"01"</f>
        <v>01</v>
      </c>
      <c r="H694" s="7" t="s">
        <v>45</v>
      </c>
      <c r="I694" s="7" t="s">
        <v>14</v>
      </c>
      <c r="J694" s="9"/>
    </row>
    <row r="695" ht="14.25" spans="1:10">
      <c r="A695" s="7" t="s">
        <v>706</v>
      </c>
      <c r="B695" s="7" t="s">
        <v>707</v>
      </c>
      <c r="C695" s="7" t="str">
        <f t="shared" si="32"/>
        <v>男</v>
      </c>
      <c r="D695" s="7" t="str">
        <f>"411325199511238232"</f>
        <v>411325199511238232</v>
      </c>
      <c r="E695" s="8" t="str">
        <f>"10960152402"</f>
        <v>10960152402</v>
      </c>
      <c r="F695" s="7" t="str">
        <f t="shared" si="34"/>
        <v>24</v>
      </c>
      <c r="G695" s="7" t="str">
        <f>"02"</f>
        <v>02</v>
      </c>
      <c r="H695" s="7" t="s">
        <v>13</v>
      </c>
      <c r="I695" s="7">
        <v>51.7</v>
      </c>
      <c r="J695" s="9"/>
    </row>
    <row r="696" ht="14.25" spans="1:10">
      <c r="A696" s="7" t="s">
        <v>706</v>
      </c>
      <c r="B696" s="7" t="s">
        <v>708</v>
      </c>
      <c r="C696" s="7" t="str">
        <f t="shared" si="32"/>
        <v>男</v>
      </c>
      <c r="D696" s="7" t="str">
        <f>"411325199602040010"</f>
        <v>411325199602040010</v>
      </c>
      <c r="E696" s="8" t="str">
        <f>"10960152403"</f>
        <v>10960152403</v>
      </c>
      <c r="F696" s="7" t="str">
        <f t="shared" si="34"/>
        <v>24</v>
      </c>
      <c r="G696" s="7" t="str">
        <f>"03"</f>
        <v>03</v>
      </c>
      <c r="H696" s="7" t="s">
        <v>13</v>
      </c>
      <c r="I696" s="7">
        <v>69.4</v>
      </c>
      <c r="J696" s="9"/>
    </row>
    <row r="697" ht="14.25" spans="1:10">
      <c r="A697" s="7" t="s">
        <v>706</v>
      </c>
      <c r="B697" s="7" t="s">
        <v>709</v>
      </c>
      <c r="C697" s="7" t="str">
        <f t="shared" si="32"/>
        <v>男</v>
      </c>
      <c r="D697" s="7" t="str">
        <f>"411325199612280472"</f>
        <v>411325199612280472</v>
      </c>
      <c r="E697" s="8" t="str">
        <f>"10960152404"</f>
        <v>10960152404</v>
      </c>
      <c r="F697" s="7" t="str">
        <f t="shared" si="34"/>
        <v>24</v>
      </c>
      <c r="G697" s="7" t="str">
        <f>"04"</f>
        <v>04</v>
      </c>
      <c r="H697" s="7" t="s">
        <v>13</v>
      </c>
      <c r="I697" s="7">
        <v>65.6</v>
      </c>
      <c r="J697" s="9"/>
    </row>
    <row r="698" ht="14.25" spans="1:10">
      <c r="A698" s="7" t="s">
        <v>706</v>
      </c>
      <c r="B698" s="7" t="s">
        <v>710</v>
      </c>
      <c r="C698" s="7" t="str">
        <f t="shared" si="32"/>
        <v>女</v>
      </c>
      <c r="D698" s="7" t="str">
        <f>"411325199708221944"</f>
        <v>411325199708221944</v>
      </c>
      <c r="E698" s="8" t="str">
        <f>"10960152405"</f>
        <v>10960152405</v>
      </c>
      <c r="F698" s="7" t="str">
        <f t="shared" si="34"/>
        <v>24</v>
      </c>
      <c r="G698" s="7" t="str">
        <f>"05"</f>
        <v>05</v>
      </c>
      <c r="H698" s="7" t="s">
        <v>13</v>
      </c>
      <c r="I698" s="7" t="s">
        <v>14</v>
      </c>
      <c r="J698" s="9"/>
    </row>
    <row r="699" ht="14.25" spans="1:10">
      <c r="A699" s="7" t="s">
        <v>706</v>
      </c>
      <c r="B699" s="7" t="s">
        <v>711</v>
      </c>
      <c r="C699" s="7" t="str">
        <f t="shared" si="32"/>
        <v>女</v>
      </c>
      <c r="D699" s="7" t="str">
        <f>"411325199604207822"</f>
        <v>411325199604207822</v>
      </c>
      <c r="E699" s="8" t="str">
        <f>"10960152406"</f>
        <v>10960152406</v>
      </c>
      <c r="F699" s="7" t="str">
        <f t="shared" si="34"/>
        <v>24</v>
      </c>
      <c r="G699" s="7" t="str">
        <f>"06"</f>
        <v>06</v>
      </c>
      <c r="H699" s="7" t="s">
        <v>13</v>
      </c>
      <c r="I699" s="7">
        <v>66.5</v>
      </c>
      <c r="J699" s="9"/>
    </row>
    <row r="700" ht="14.25" spans="1:10">
      <c r="A700" s="7" t="s">
        <v>706</v>
      </c>
      <c r="B700" s="7" t="s">
        <v>712</v>
      </c>
      <c r="C700" s="7" t="str">
        <f t="shared" si="32"/>
        <v>男</v>
      </c>
      <c r="D700" s="7" t="str">
        <f>"411323199305250019"</f>
        <v>411323199305250019</v>
      </c>
      <c r="E700" s="8" t="str">
        <f>"10960152407"</f>
        <v>10960152407</v>
      </c>
      <c r="F700" s="7" t="str">
        <f t="shared" si="34"/>
        <v>24</v>
      </c>
      <c r="G700" s="7" t="str">
        <f>"07"</f>
        <v>07</v>
      </c>
      <c r="H700" s="7" t="s">
        <v>13</v>
      </c>
      <c r="I700" s="7" t="s">
        <v>14</v>
      </c>
      <c r="J700" s="9"/>
    </row>
    <row r="701" ht="14.25" spans="1:10">
      <c r="A701" s="7" t="s">
        <v>706</v>
      </c>
      <c r="B701" s="7" t="s">
        <v>713</v>
      </c>
      <c r="C701" s="7" t="str">
        <f t="shared" si="32"/>
        <v>男</v>
      </c>
      <c r="D701" s="7" t="str">
        <f>"411302199405150814"</f>
        <v>411302199405150814</v>
      </c>
      <c r="E701" s="8" t="str">
        <f>"10960152408"</f>
        <v>10960152408</v>
      </c>
      <c r="F701" s="7" t="str">
        <f t="shared" si="34"/>
        <v>24</v>
      </c>
      <c r="G701" s="7" t="str">
        <f>"08"</f>
        <v>08</v>
      </c>
      <c r="H701" s="7" t="s">
        <v>13</v>
      </c>
      <c r="I701" s="7" t="s">
        <v>14</v>
      </c>
      <c r="J701" s="9"/>
    </row>
    <row r="702" ht="14.25" spans="1:10">
      <c r="A702" s="7" t="s">
        <v>706</v>
      </c>
      <c r="B702" s="7" t="s">
        <v>714</v>
      </c>
      <c r="C702" s="7" t="str">
        <f t="shared" si="32"/>
        <v>男</v>
      </c>
      <c r="D702" s="7" t="str">
        <f>"411328199512089434"</f>
        <v>411328199512089434</v>
      </c>
      <c r="E702" s="8" t="str">
        <f>"10960152409"</f>
        <v>10960152409</v>
      </c>
      <c r="F702" s="7" t="str">
        <f t="shared" si="34"/>
        <v>24</v>
      </c>
      <c r="G702" s="7" t="str">
        <f>"09"</f>
        <v>09</v>
      </c>
      <c r="H702" s="7" t="s">
        <v>13</v>
      </c>
      <c r="I702" s="7" t="s">
        <v>14</v>
      </c>
      <c r="J702" s="9"/>
    </row>
    <row r="703" ht="14.25" spans="1:10">
      <c r="A703" s="7" t="s">
        <v>706</v>
      </c>
      <c r="B703" s="7" t="s">
        <v>715</v>
      </c>
      <c r="C703" s="7" t="str">
        <f t="shared" si="32"/>
        <v>男</v>
      </c>
      <c r="D703" s="7" t="str">
        <f>"411325199007016016"</f>
        <v>411325199007016016</v>
      </c>
      <c r="E703" s="8" t="str">
        <f>"10960152410"</f>
        <v>10960152410</v>
      </c>
      <c r="F703" s="7" t="str">
        <f t="shared" si="34"/>
        <v>24</v>
      </c>
      <c r="G703" s="7" t="str">
        <f>"10"</f>
        <v>10</v>
      </c>
      <c r="H703" s="7" t="s">
        <v>45</v>
      </c>
      <c r="I703" s="7">
        <v>63.9</v>
      </c>
      <c r="J703" s="9"/>
    </row>
    <row r="704" ht="14.25" spans="1:10">
      <c r="A704" s="7" t="s">
        <v>706</v>
      </c>
      <c r="B704" s="7" t="s">
        <v>716</v>
      </c>
      <c r="C704" s="7" t="str">
        <f t="shared" si="32"/>
        <v>男</v>
      </c>
      <c r="D704" s="7" t="str">
        <f>"411503199501022713"</f>
        <v>411503199501022713</v>
      </c>
      <c r="E704" s="8" t="str">
        <f>"10960152411"</f>
        <v>10960152411</v>
      </c>
      <c r="F704" s="7" t="str">
        <f t="shared" si="34"/>
        <v>24</v>
      </c>
      <c r="G704" s="7" t="str">
        <f>"11"</f>
        <v>11</v>
      </c>
      <c r="H704" s="7" t="s">
        <v>45</v>
      </c>
      <c r="I704" s="7" t="s">
        <v>14</v>
      </c>
      <c r="J704" s="9"/>
    </row>
    <row r="705" ht="14.25" spans="1:10">
      <c r="A705" s="7" t="s">
        <v>706</v>
      </c>
      <c r="B705" s="7" t="s">
        <v>717</v>
      </c>
      <c r="C705" s="7" t="str">
        <f t="shared" si="32"/>
        <v>男</v>
      </c>
      <c r="D705" s="7" t="str">
        <f>"41132919950701221X"</f>
        <v>41132919950701221X</v>
      </c>
      <c r="E705" s="8" t="str">
        <f>"10960152412"</f>
        <v>10960152412</v>
      </c>
      <c r="F705" s="7" t="str">
        <f t="shared" si="34"/>
        <v>24</v>
      </c>
      <c r="G705" s="7" t="str">
        <f>"12"</f>
        <v>12</v>
      </c>
      <c r="H705" s="7" t="s">
        <v>45</v>
      </c>
      <c r="I705" s="7" t="s">
        <v>14</v>
      </c>
      <c r="J705" s="9"/>
    </row>
    <row r="706" ht="14.25" spans="1:10">
      <c r="A706" s="7" t="s">
        <v>706</v>
      </c>
      <c r="B706" s="7" t="s">
        <v>718</v>
      </c>
      <c r="C706" s="7" t="str">
        <f t="shared" si="32"/>
        <v>男</v>
      </c>
      <c r="D706" s="7" t="str">
        <f>"411081199112119134"</f>
        <v>411081199112119134</v>
      </c>
      <c r="E706" s="8" t="str">
        <f>"10960152413"</f>
        <v>10960152413</v>
      </c>
      <c r="F706" s="7" t="str">
        <f t="shared" si="34"/>
        <v>24</v>
      </c>
      <c r="G706" s="7" t="str">
        <f>"13"</f>
        <v>13</v>
      </c>
      <c r="H706" s="7" t="s">
        <v>45</v>
      </c>
      <c r="I706" s="7">
        <v>76.8</v>
      </c>
      <c r="J706" s="9"/>
    </row>
    <row r="707" ht="14.25" spans="1:10">
      <c r="A707" s="7" t="s">
        <v>706</v>
      </c>
      <c r="B707" s="7" t="s">
        <v>719</v>
      </c>
      <c r="C707" s="7" t="str">
        <f t="shared" si="32"/>
        <v>男</v>
      </c>
      <c r="D707" s="7" t="str">
        <f>"41132319950410003X"</f>
        <v>41132319950410003X</v>
      </c>
      <c r="E707" s="8" t="str">
        <f>"10960152414"</f>
        <v>10960152414</v>
      </c>
      <c r="F707" s="7" t="str">
        <f t="shared" si="34"/>
        <v>24</v>
      </c>
      <c r="G707" s="7" t="str">
        <f>"14"</f>
        <v>14</v>
      </c>
      <c r="H707" s="7" t="s">
        <v>45</v>
      </c>
      <c r="I707" s="7" t="s">
        <v>14</v>
      </c>
      <c r="J707" s="9"/>
    </row>
    <row r="708" ht="14.25" spans="1:10">
      <c r="A708" s="7" t="s">
        <v>706</v>
      </c>
      <c r="B708" s="7" t="s">
        <v>720</v>
      </c>
      <c r="C708" s="7" t="str">
        <f t="shared" ref="C708:C771" si="35">IF(MOD(MID(D708,17,1),2),"男","女")</f>
        <v>男</v>
      </c>
      <c r="D708" s="7" t="str">
        <f>"412822199309097615"</f>
        <v>412822199309097615</v>
      </c>
      <c r="E708" s="8" t="str">
        <f>"10960152415"</f>
        <v>10960152415</v>
      </c>
      <c r="F708" s="7" t="str">
        <f t="shared" si="34"/>
        <v>24</v>
      </c>
      <c r="G708" s="7" t="str">
        <f>"15"</f>
        <v>15</v>
      </c>
      <c r="H708" s="7" t="s">
        <v>45</v>
      </c>
      <c r="I708" s="7" t="s">
        <v>14</v>
      </c>
      <c r="J708" s="9"/>
    </row>
    <row r="709" ht="14.25" spans="1:10">
      <c r="A709" s="7" t="s">
        <v>706</v>
      </c>
      <c r="B709" s="7" t="s">
        <v>721</v>
      </c>
      <c r="C709" s="7" t="str">
        <f t="shared" si="35"/>
        <v>男</v>
      </c>
      <c r="D709" s="7" t="str">
        <f>"411521199007038915"</f>
        <v>411521199007038915</v>
      </c>
      <c r="E709" s="8" t="str">
        <f>"10960152416"</f>
        <v>10960152416</v>
      </c>
      <c r="F709" s="7" t="str">
        <f t="shared" si="34"/>
        <v>24</v>
      </c>
      <c r="G709" s="7" t="str">
        <f>"16"</f>
        <v>16</v>
      </c>
      <c r="H709" s="7" t="s">
        <v>45</v>
      </c>
      <c r="I709" s="7" t="s">
        <v>14</v>
      </c>
      <c r="J709" s="9"/>
    </row>
    <row r="710" ht="14.25" spans="1:10">
      <c r="A710" s="7" t="s">
        <v>706</v>
      </c>
      <c r="B710" s="7" t="s">
        <v>722</v>
      </c>
      <c r="C710" s="7" t="str">
        <f t="shared" si="35"/>
        <v>男</v>
      </c>
      <c r="D710" s="7" t="str">
        <f>"411381199608274214"</f>
        <v>411381199608274214</v>
      </c>
      <c r="E710" s="8" t="str">
        <f>"10960152417"</f>
        <v>10960152417</v>
      </c>
      <c r="F710" s="7" t="str">
        <f t="shared" si="34"/>
        <v>24</v>
      </c>
      <c r="G710" s="7" t="str">
        <f>"17"</f>
        <v>17</v>
      </c>
      <c r="H710" s="7" t="s">
        <v>45</v>
      </c>
      <c r="I710" s="7" t="s">
        <v>14</v>
      </c>
      <c r="J710" s="9"/>
    </row>
    <row r="711" ht="14.25" spans="1:10">
      <c r="A711" s="7" t="s">
        <v>706</v>
      </c>
      <c r="B711" s="7" t="s">
        <v>723</v>
      </c>
      <c r="C711" s="7" t="str">
        <f t="shared" si="35"/>
        <v>女</v>
      </c>
      <c r="D711" s="7" t="str">
        <f>"411325199010183560"</f>
        <v>411325199010183560</v>
      </c>
      <c r="E711" s="8" t="str">
        <f>"10960152418"</f>
        <v>10960152418</v>
      </c>
      <c r="F711" s="7" t="str">
        <f t="shared" si="34"/>
        <v>24</v>
      </c>
      <c r="G711" s="7" t="str">
        <f>"18"</f>
        <v>18</v>
      </c>
      <c r="H711" s="7" t="s">
        <v>45</v>
      </c>
      <c r="I711" s="7">
        <v>52.8</v>
      </c>
      <c r="J711" s="9"/>
    </row>
    <row r="712" ht="14.25" spans="1:10">
      <c r="A712" s="7" t="s">
        <v>706</v>
      </c>
      <c r="B712" s="7" t="s">
        <v>724</v>
      </c>
      <c r="C712" s="7" t="str">
        <f t="shared" si="35"/>
        <v>男</v>
      </c>
      <c r="D712" s="7" t="str">
        <f>"41282219920911123X"</f>
        <v>41282219920911123X</v>
      </c>
      <c r="E712" s="8" t="str">
        <f>"10960152419"</f>
        <v>10960152419</v>
      </c>
      <c r="F712" s="7" t="str">
        <f t="shared" si="34"/>
        <v>24</v>
      </c>
      <c r="G712" s="7" t="str">
        <f>"19"</f>
        <v>19</v>
      </c>
      <c r="H712" s="7" t="s">
        <v>45</v>
      </c>
      <c r="I712" s="7" t="s">
        <v>14</v>
      </c>
      <c r="J712" s="9"/>
    </row>
    <row r="713" ht="14.25" spans="1:10">
      <c r="A713" s="7" t="s">
        <v>706</v>
      </c>
      <c r="B713" s="7" t="s">
        <v>725</v>
      </c>
      <c r="C713" s="7" t="str">
        <f t="shared" si="35"/>
        <v>男</v>
      </c>
      <c r="D713" s="7" t="str">
        <f>"410928199708123018"</f>
        <v>410928199708123018</v>
      </c>
      <c r="E713" s="8" t="str">
        <f>"10960152420"</f>
        <v>10960152420</v>
      </c>
      <c r="F713" s="7" t="str">
        <f t="shared" si="34"/>
        <v>24</v>
      </c>
      <c r="G713" s="7" t="str">
        <f>"20"</f>
        <v>20</v>
      </c>
      <c r="H713" s="7" t="s">
        <v>45</v>
      </c>
      <c r="I713" s="7">
        <v>68.4</v>
      </c>
      <c r="J713" s="9"/>
    </row>
    <row r="714" ht="14.25" spans="1:10">
      <c r="A714" s="7" t="s">
        <v>706</v>
      </c>
      <c r="B714" s="7" t="s">
        <v>726</v>
      </c>
      <c r="C714" s="7" t="str">
        <f t="shared" si="35"/>
        <v>男</v>
      </c>
      <c r="D714" s="7" t="str">
        <f>"411321199505263217"</f>
        <v>411321199505263217</v>
      </c>
      <c r="E714" s="8" t="str">
        <f>"10960152421"</f>
        <v>10960152421</v>
      </c>
      <c r="F714" s="7" t="str">
        <f t="shared" si="34"/>
        <v>24</v>
      </c>
      <c r="G714" s="7" t="str">
        <f>"21"</f>
        <v>21</v>
      </c>
      <c r="H714" s="7" t="s">
        <v>45</v>
      </c>
      <c r="I714" s="7" t="s">
        <v>14</v>
      </c>
      <c r="J714" s="9"/>
    </row>
    <row r="715" ht="14.25" spans="1:10">
      <c r="A715" s="7" t="s">
        <v>706</v>
      </c>
      <c r="B715" s="7" t="s">
        <v>727</v>
      </c>
      <c r="C715" s="7" t="str">
        <f t="shared" si="35"/>
        <v>男</v>
      </c>
      <c r="D715" s="7" t="str">
        <f>"412822199810292676"</f>
        <v>412822199810292676</v>
      </c>
      <c r="E715" s="8" t="str">
        <f>"10960152422"</f>
        <v>10960152422</v>
      </c>
      <c r="F715" s="7" t="str">
        <f t="shared" si="34"/>
        <v>24</v>
      </c>
      <c r="G715" s="7" t="str">
        <f>"22"</f>
        <v>22</v>
      </c>
      <c r="H715" s="7" t="s">
        <v>45</v>
      </c>
      <c r="I715" s="7">
        <v>67.1</v>
      </c>
      <c r="J715" s="9"/>
    </row>
    <row r="716" ht="14.25" spans="1:10">
      <c r="A716" s="7" t="s">
        <v>706</v>
      </c>
      <c r="B716" s="7" t="s">
        <v>728</v>
      </c>
      <c r="C716" s="7" t="str">
        <f t="shared" si="35"/>
        <v>女</v>
      </c>
      <c r="D716" s="7" t="str">
        <f>"41132519980627904X"</f>
        <v>41132519980627904X</v>
      </c>
      <c r="E716" s="8" t="str">
        <f>"10960152423"</f>
        <v>10960152423</v>
      </c>
      <c r="F716" s="7" t="str">
        <f t="shared" si="34"/>
        <v>24</v>
      </c>
      <c r="G716" s="7" t="str">
        <f>"23"</f>
        <v>23</v>
      </c>
      <c r="H716" s="7" t="s">
        <v>45</v>
      </c>
      <c r="I716" s="7">
        <v>68.6</v>
      </c>
      <c r="J716" s="9"/>
    </row>
    <row r="717" ht="14.25" spans="1:10">
      <c r="A717" s="7" t="s">
        <v>729</v>
      </c>
      <c r="B717" s="7" t="s">
        <v>730</v>
      </c>
      <c r="C717" s="7" t="str">
        <f t="shared" si="35"/>
        <v>女</v>
      </c>
      <c r="D717" s="7" t="str">
        <f>"411302199803235442"</f>
        <v>411302199803235442</v>
      </c>
      <c r="E717" s="8" t="str">
        <f>"10960172424"</f>
        <v>10960172424</v>
      </c>
      <c r="F717" s="7" t="str">
        <f t="shared" si="34"/>
        <v>24</v>
      </c>
      <c r="G717" s="7" t="str">
        <f>"24"</f>
        <v>24</v>
      </c>
      <c r="H717" s="7" t="s">
        <v>13</v>
      </c>
      <c r="I717" s="7">
        <v>66.4</v>
      </c>
      <c r="J717" s="9"/>
    </row>
    <row r="718" ht="14.25" spans="1:10">
      <c r="A718" s="7" t="s">
        <v>729</v>
      </c>
      <c r="B718" s="7" t="s">
        <v>731</v>
      </c>
      <c r="C718" s="7" t="str">
        <f t="shared" si="35"/>
        <v>女</v>
      </c>
      <c r="D718" s="7" t="str">
        <f>"411325199701135023"</f>
        <v>411325199701135023</v>
      </c>
      <c r="E718" s="8" t="str">
        <f>"10960172425"</f>
        <v>10960172425</v>
      </c>
      <c r="F718" s="7" t="str">
        <f t="shared" si="34"/>
        <v>24</v>
      </c>
      <c r="G718" s="7" t="str">
        <f>"25"</f>
        <v>25</v>
      </c>
      <c r="H718" s="7" t="s">
        <v>13</v>
      </c>
      <c r="I718" s="7" t="s">
        <v>14</v>
      </c>
      <c r="J718" s="9"/>
    </row>
    <row r="719" ht="14.25" spans="1:10">
      <c r="A719" s="7" t="s">
        <v>729</v>
      </c>
      <c r="B719" s="7" t="s">
        <v>732</v>
      </c>
      <c r="C719" s="7" t="str">
        <f t="shared" si="35"/>
        <v>男</v>
      </c>
      <c r="D719" s="7" t="str">
        <f>"411302199303183711"</f>
        <v>411302199303183711</v>
      </c>
      <c r="E719" s="8" t="str">
        <f>"10960172426"</f>
        <v>10960172426</v>
      </c>
      <c r="F719" s="7" t="str">
        <f t="shared" si="34"/>
        <v>24</v>
      </c>
      <c r="G719" s="7" t="str">
        <f>"26"</f>
        <v>26</v>
      </c>
      <c r="H719" s="7" t="s">
        <v>13</v>
      </c>
      <c r="I719" s="7" t="s">
        <v>14</v>
      </c>
      <c r="J719" s="9"/>
    </row>
    <row r="720" ht="14.25" spans="1:10">
      <c r="A720" s="7" t="s">
        <v>729</v>
      </c>
      <c r="B720" s="7" t="s">
        <v>733</v>
      </c>
      <c r="C720" s="7" t="str">
        <f t="shared" si="35"/>
        <v>女</v>
      </c>
      <c r="D720" s="7" t="str">
        <f>"411325199510200021"</f>
        <v>411325199510200021</v>
      </c>
      <c r="E720" s="8" t="str">
        <f>"10960172427"</f>
        <v>10960172427</v>
      </c>
      <c r="F720" s="7" t="str">
        <f t="shared" si="34"/>
        <v>24</v>
      </c>
      <c r="G720" s="7" t="str">
        <f>"27"</f>
        <v>27</v>
      </c>
      <c r="H720" s="7" t="s">
        <v>13</v>
      </c>
      <c r="I720" s="7">
        <v>62.9</v>
      </c>
      <c r="J720" s="9"/>
    </row>
    <row r="721" ht="14.25" spans="1:10">
      <c r="A721" s="7" t="s">
        <v>729</v>
      </c>
      <c r="B721" s="7" t="s">
        <v>734</v>
      </c>
      <c r="C721" s="7" t="str">
        <f t="shared" si="35"/>
        <v>男</v>
      </c>
      <c r="D721" s="7" t="str">
        <f>"411325199510112910"</f>
        <v>411325199510112910</v>
      </c>
      <c r="E721" s="8" t="str">
        <f>"10960172428"</f>
        <v>10960172428</v>
      </c>
      <c r="F721" s="7" t="str">
        <f t="shared" si="34"/>
        <v>24</v>
      </c>
      <c r="G721" s="7" t="str">
        <f>"28"</f>
        <v>28</v>
      </c>
      <c r="H721" s="7" t="s">
        <v>13</v>
      </c>
      <c r="I721" s="7" t="s">
        <v>14</v>
      </c>
      <c r="J721" s="9"/>
    </row>
    <row r="722" ht="14.25" spans="1:10">
      <c r="A722" s="7" t="s">
        <v>729</v>
      </c>
      <c r="B722" s="7" t="s">
        <v>735</v>
      </c>
      <c r="C722" s="7" t="str">
        <f t="shared" si="35"/>
        <v>男</v>
      </c>
      <c r="D722" s="7" t="str">
        <f>"411381199603030317"</f>
        <v>411381199603030317</v>
      </c>
      <c r="E722" s="8" t="str">
        <f>"10960172429"</f>
        <v>10960172429</v>
      </c>
      <c r="F722" s="7" t="str">
        <f t="shared" si="34"/>
        <v>24</v>
      </c>
      <c r="G722" s="7" t="str">
        <f>"29"</f>
        <v>29</v>
      </c>
      <c r="H722" s="7" t="s">
        <v>13</v>
      </c>
      <c r="I722" s="7" t="s">
        <v>14</v>
      </c>
      <c r="J722" s="9"/>
    </row>
    <row r="723" ht="14.25" spans="1:10">
      <c r="A723" s="7" t="s">
        <v>729</v>
      </c>
      <c r="B723" s="7" t="s">
        <v>736</v>
      </c>
      <c r="C723" s="7" t="str">
        <f t="shared" si="35"/>
        <v>男</v>
      </c>
      <c r="D723" s="7" t="str">
        <f>"411329199308041317"</f>
        <v>411329199308041317</v>
      </c>
      <c r="E723" s="8" t="str">
        <f>"10960172430"</f>
        <v>10960172430</v>
      </c>
      <c r="F723" s="7" t="str">
        <f t="shared" si="34"/>
        <v>24</v>
      </c>
      <c r="G723" s="7" t="str">
        <f>"30"</f>
        <v>30</v>
      </c>
      <c r="H723" s="7" t="s">
        <v>13</v>
      </c>
      <c r="I723" s="7">
        <v>67.4</v>
      </c>
      <c r="J723" s="9"/>
    </row>
    <row r="724" ht="14.25" spans="1:10">
      <c r="A724" s="7" t="s">
        <v>729</v>
      </c>
      <c r="B724" s="7" t="s">
        <v>737</v>
      </c>
      <c r="C724" s="7" t="str">
        <f t="shared" si="35"/>
        <v>男</v>
      </c>
      <c r="D724" s="7" t="str">
        <f>"411325199402040411"</f>
        <v>411325199402040411</v>
      </c>
      <c r="E724" s="8" t="str">
        <f>"10960172501"</f>
        <v>10960172501</v>
      </c>
      <c r="F724" s="7" t="str">
        <f t="shared" ref="F724:F753" si="36">"25"</f>
        <v>25</v>
      </c>
      <c r="G724" s="7" t="str">
        <f>"01"</f>
        <v>01</v>
      </c>
      <c r="H724" s="7" t="s">
        <v>13</v>
      </c>
      <c r="I724" s="7" t="s">
        <v>14</v>
      </c>
      <c r="J724" s="9"/>
    </row>
    <row r="725" ht="14.25" spans="1:10">
      <c r="A725" s="7" t="s">
        <v>729</v>
      </c>
      <c r="B725" s="7" t="s">
        <v>738</v>
      </c>
      <c r="C725" s="7" t="str">
        <f t="shared" si="35"/>
        <v>女</v>
      </c>
      <c r="D725" s="7" t="str">
        <f>"411325199404080724"</f>
        <v>411325199404080724</v>
      </c>
      <c r="E725" s="8" t="str">
        <f>"10960172502"</f>
        <v>10960172502</v>
      </c>
      <c r="F725" s="7" t="str">
        <f t="shared" si="36"/>
        <v>25</v>
      </c>
      <c r="G725" s="7" t="str">
        <f>"02"</f>
        <v>02</v>
      </c>
      <c r="H725" s="7" t="s">
        <v>13</v>
      </c>
      <c r="I725" s="7">
        <v>51.1</v>
      </c>
      <c r="J725" s="9"/>
    </row>
    <row r="726" ht="14.25" spans="1:10">
      <c r="A726" s="7" t="s">
        <v>729</v>
      </c>
      <c r="B726" s="7" t="s">
        <v>739</v>
      </c>
      <c r="C726" s="7" t="str">
        <f t="shared" si="35"/>
        <v>男</v>
      </c>
      <c r="D726" s="7" t="str">
        <f>"411325199404080433"</f>
        <v>411325199404080433</v>
      </c>
      <c r="E726" s="8" t="str">
        <f>"10960172503"</f>
        <v>10960172503</v>
      </c>
      <c r="F726" s="7" t="str">
        <f t="shared" si="36"/>
        <v>25</v>
      </c>
      <c r="G726" s="7" t="str">
        <f>"03"</f>
        <v>03</v>
      </c>
      <c r="H726" s="7" t="s">
        <v>13</v>
      </c>
      <c r="I726" s="7">
        <v>56.9</v>
      </c>
      <c r="J726" s="9"/>
    </row>
    <row r="727" ht="14.25" spans="1:10">
      <c r="A727" s="7" t="s">
        <v>729</v>
      </c>
      <c r="B727" s="7" t="s">
        <v>740</v>
      </c>
      <c r="C727" s="7" t="str">
        <f t="shared" si="35"/>
        <v>女</v>
      </c>
      <c r="D727" s="7" t="str">
        <f>"411325199902202923"</f>
        <v>411325199902202923</v>
      </c>
      <c r="E727" s="8" t="str">
        <f>"10960172504"</f>
        <v>10960172504</v>
      </c>
      <c r="F727" s="7" t="str">
        <f t="shared" si="36"/>
        <v>25</v>
      </c>
      <c r="G727" s="7" t="str">
        <f>"04"</f>
        <v>04</v>
      </c>
      <c r="H727" s="7" t="s">
        <v>13</v>
      </c>
      <c r="I727" s="7" t="s">
        <v>14</v>
      </c>
      <c r="J727" s="9"/>
    </row>
    <row r="728" ht="14.25" spans="1:10">
      <c r="A728" s="7" t="s">
        <v>729</v>
      </c>
      <c r="B728" s="7" t="s">
        <v>741</v>
      </c>
      <c r="C728" s="7" t="str">
        <f t="shared" si="35"/>
        <v>女</v>
      </c>
      <c r="D728" s="7" t="str">
        <f>"411325199603157464"</f>
        <v>411325199603157464</v>
      </c>
      <c r="E728" s="8" t="str">
        <f>"10960172505"</f>
        <v>10960172505</v>
      </c>
      <c r="F728" s="7" t="str">
        <f t="shared" si="36"/>
        <v>25</v>
      </c>
      <c r="G728" s="7" t="str">
        <f>"05"</f>
        <v>05</v>
      </c>
      <c r="H728" s="7" t="s">
        <v>13</v>
      </c>
      <c r="I728" s="7" t="s">
        <v>14</v>
      </c>
      <c r="J728" s="9"/>
    </row>
    <row r="729" ht="14.25" spans="1:10">
      <c r="A729" s="7" t="s">
        <v>729</v>
      </c>
      <c r="B729" s="7" t="s">
        <v>742</v>
      </c>
      <c r="C729" s="7" t="str">
        <f t="shared" si="35"/>
        <v>女</v>
      </c>
      <c r="D729" s="7" t="str">
        <f>"411325199501010824"</f>
        <v>411325199501010824</v>
      </c>
      <c r="E729" s="8" t="str">
        <f>"10960172506"</f>
        <v>10960172506</v>
      </c>
      <c r="F729" s="7" t="str">
        <f t="shared" si="36"/>
        <v>25</v>
      </c>
      <c r="G729" s="7" t="str">
        <f>"06"</f>
        <v>06</v>
      </c>
      <c r="H729" s="7" t="s">
        <v>13</v>
      </c>
      <c r="I729" s="7" t="s">
        <v>14</v>
      </c>
      <c r="J729" s="9"/>
    </row>
    <row r="730" ht="14.25" spans="1:10">
      <c r="A730" s="7" t="s">
        <v>729</v>
      </c>
      <c r="B730" s="7" t="s">
        <v>743</v>
      </c>
      <c r="C730" s="7" t="str">
        <f t="shared" si="35"/>
        <v>男</v>
      </c>
      <c r="D730" s="7" t="str">
        <f>"411325199010300018"</f>
        <v>411325199010300018</v>
      </c>
      <c r="E730" s="8" t="str">
        <f>"10960172507"</f>
        <v>10960172507</v>
      </c>
      <c r="F730" s="7" t="str">
        <f t="shared" si="36"/>
        <v>25</v>
      </c>
      <c r="G730" s="7" t="str">
        <f>"07"</f>
        <v>07</v>
      </c>
      <c r="H730" s="7" t="s">
        <v>13</v>
      </c>
      <c r="I730" s="7">
        <v>65.6</v>
      </c>
      <c r="J730" s="9"/>
    </row>
    <row r="731" ht="14.25" spans="1:10">
      <c r="A731" s="7" t="s">
        <v>729</v>
      </c>
      <c r="B731" s="7" t="s">
        <v>744</v>
      </c>
      <c r="C731" s="7" t="str">
        <f t="shared" si="35"/>
        <v>男</v>
      </c>
      <c r="D731" s="7" t="str">
        <f>"411323199508160013"</f>
        <v>411323199508160013</v>
      </c>
      <c r="E731" s="8" t="str">
        <f>"10960172508"</f>
        <v>10960172508</v>
      </c>
      <c r="F731" s="7" t="str">
        <f t="shared" si="36"/>
        <v>25</v>
      </c>
      <c r="G731" s="7" t="str">
        <f>"08"</f>
        <v>08</v>
      </c>
      <c r="H731" s="7" t="s">
        <v>13</v>
      </c>
      <c r="I731" s="7">
        <v>71.8</v>
      </c>
      <c r="J731" s="9"/>
    </row>
    <row r="732" ht="14.25" spans="1:10">
      <c r="A732" s="7" t="s">
        <v>729</v>
      </c>
      <c r="B732" s="7" t="s">
        <v>745</v>
      </c>
      <c r="C732" s="7" t="str">
        <f t="shared" si="35"/>
        <v>男</v>
      </c>
      <c r="D732" s="7" t="str">
        <f>"411323199612030032"</f>
        <v>411323199612030032</v>
      </c>
      <c r="E732" s="8" t="str">
        <f>"10960172509"</f>
        <v>10960172509</v>
      </c>
      <c r="F732" s="7" t="str">
        <f t="shared" si="36"/>
        <v>25</v>
      </c>
      <c r="G732" s="7" t="str">
        <f>"09"</f>
        <v>09</v>
      </c>
      <c r="H732" s="7" t="s">
        <v>13</v>
      </c>
      <c r="I732" s="7" t="s">
        <v>14</v>
      </c>
      <c r="J732" s="9"/>
    </row>
    <row r="733" ht="14.25" spans="1:10">
      <c r="A733" s="7" t="s">
        <v>729</v>
      </c>
      <c r="B733" s="7" t="s">
        <v>746</v>
      </c>
      <c r="C733" s="7" t="str">
        <f t="shared" si="35"/>
        <v>男</v>
      </c>
      <c r="D733" s="7" t="str">
        <f>"411325199404060715"</f>
        <v>411325199404060715</v>
      </c>
      <c r="E733" s="8" t="str">
        <f>"10960172510"</f>
        <v>10960172510</v>
      </c>
      <c r="F733" s="7" t="str">
        <f t="shared" si="36"/>
        <v>25</v>
      </c>
      <c r="G733" s="7" t="str">
        <f>"10"</f>
        <v>10</v>
      </c>
      <c r="H733" s="7" t="s">
        <v>13</v>
      </c>
      <c r="I733" s="7">
        <v>56.4</v>
      </c>
      <c r="J733" s="9"/>
    </row>
    <row r="734" ht="14.25" spans="1:10">
      <c r="A734" s="7" t="s">
        <v>729</v>
      </c>
      <c r="B734" s="7" t="s">
        <v>747</v>
      </c>
      <c r="C734" s="7" t="str">
        <f t="shared" si="35"/>
        <v>女</v>
      </c>
      <c r="D734" s="7" t="str">
        <f>"623026199810090048"</f>
        <v>623026199810090048</v>
      </c>
      <c r="E734" s="8" t="str">
        <f>"10960172511"</f>
        <v>10960172511</v>
      </c>
      <c r="F734" s="7" t="str">
        <f t="shared" si="36"/>
        <v>25</v>
      </c>
      <c r="G734" s="7" t="str">
        <f>"11"</f>
        <v>11</v>
      </c>
      <c r="H734" s="7" t="s">
        <v>13</v>
      </c>
      <c r="I734" s="7">
        <v>76.3</v>
      </c>
      <c r="J734" s="9"/>
    </row>
    <row r="735" ht="14.25" spans="1:10">
      <c r="A735" s="7" t="s">
        <v>729</v>
      </c>
      <c r="B735" s="7" t="s">
        <v>748</v>
      </c>
      <c r="C735" s="7" t="str">
        <f t="shared" si="35"/>
        <v>男</v>
      </c>
      <c r="D735" s="7" t="str">
        <f>"411327199205250017"</f>
        <v>411327199205250017</v>
      </c>
      <c r="E735" s="8" t="str">
        <f>"10960172512"</f>
        <v>10960172512</v>
      </c>
      <c r="F735" s="7" t="str">
        <f t="shared" si="36"/>
        <v>25</v>
      </c>
      <c r="G735" s="7" t="str">
        <f>"12"</f>
        <v>12</v>
      </c>
      <c r="H735" s="7" t="s">
        <v>45</v>
      </c>
      <c r="I735" s="7" t="s">
        <v>14</v>
      </c>
      <c r="J735" s="9"/>
    </row>
    <row r="736" ht="14.25" spans="1:10">
      <c r="A736" s="7" t="s">
        <v>729</v>
      </c>
      <c r="B736" s="7" t="s">
        <v>749</v>
      </c>
      <c r="C736" s="7" t="str">
        <f t="shared" si="35"/>
        <v>女</v>
      </c>
      <c r="D736" s="7" t="str">
        <f>"411321199612154120"</f>
        <v>411321199612154120</v>
      </c>
      <c r="E736" s="8" t="str">
        <f>"10960172513"</f>
        <v>10960172513</v>
      </c>
      <c r="F736" s="7" t="str">
        <f t="shared" si="36"/>
        <v>25</v>
      </c>
      <c r="G736" s="7" t="str">
        <f>"13"</f>
        <v>13</v>
      </c>
      <c r="H736" s="7" t="s">
        <v>45</v>
      </c>
      <c r="I736" s="7" t="s">
        <v>14</v>
      </c>
      <c r="J736" s="9"/>
    </row>
    <row r="737" ht="14.25" spans="1:10">
      <c r="A737" s="7" t="s">
        <v>729</v>
      </c>
      <c r="B737" s="7" t="s">
        <v>750</v>
      </c>
      <c r="C737" s="7" t="str">
        <f t="shared" si="35"/>
        <v>男</v>
      </c>
      <c r="D737" s="7" t="str">
        <f>"411323199305250035"</f>
        <v>411323199305250035</v>
      </c>
      <c r="E737" s="8" t="str">
        <f>"10960172514"</f>
        <v>10960172514</v>
      </c>
      <c r="F737" s="7" t="str">
        <f t="shared" si="36"/>
        <v>25</v>
      </c>
      <c r="G737" s="7" t="str">
        <f>"14"</f>
        <v>14</v>
      </c>
      <c r="H737" s="7" t="s">
        <v>45</v>
      </c>
      <c r="I737" s="7" t="s">
        <v>14</v>
      </c>
      <c r="J737" s="9"/>
    </row>
    <row r="738" ht="14.25" spans="1:10">
      <c r="A738" s="7" t="s">
        <v>729</v>
      </c>
      <c r="B738" s="7" t="s">
        <v>751</v>
      </c>
      <c r="C738" s="7" t="str">
        <f t="shared" si="35"/>
        <v>男</v>
      </c>
      <c r="D738" s="7" t="str">
        <f>"411328199303140416"</f>
        <v>411328199303140416</v>
      </c>
      <c r="E738" s="8" t="str">
        <f>"10960172515"</f>
        <v>10960172515</v>
      </c>
      <c r="F738" s="7" t="str">
        <f t="shared" si="36"/>
        <v>25</v>
      </c>
      <c r="G738" s="7" t="str">
        <f>"15"</f>
        <v>15</v>
      </c>
      <c r="H738" s="7" t="s">
        <v>45</v>
      </c>
      <c r="I738" s="7">
        <v>62.9</v>
      </c>
      <c r="J738" s="9"/>
    </row>
    <row r="739" ht="14.25" spans="1:10">
      <c r="A739" s="7" t="s">
        <v>729</v>
      </c>
      <c r="B739" s="7" t="s">
        <v>752</v>
      </c>
      <c r="C739" s="7" t="str">
        <f t="shared" si="35"/>
        <v>女</v>
      </c>
      <c r="D739" s="7" t="str">
        <f>"411303199601280065"</f>
        <v>411303199601280065</v>
      </c>
      <c r="E739" s="8" t="str">
        <f>"10960172516"</f>
        <v>10960172516</v>
      </c>
      <c r="F739" s="7" t="str">
        <f t="shared" si="36"/>
        <v>25</v>
      </c>
      <c r="G739" s="7" t="str">
        <f>"16"</f>
        <v>16</v>
      </c>
      <c r="H739" s="7" t="s">
        <v>45</v>
      </c>
      <c r="I739" s="7" t="s">
        <v>14</v>
      </c>
      <c r="J739" s="9"/>
    </row>
    <row r="740" ht="14.25" spans="1:10">
      <c r="A740" s="7" t="s">
        <v>729</v>
      </c>
      <c r="B740" s="7" t="s">
        <v>753</v>
      </c>
      <c r="C740" s="7" t="str">
        <f t="shared" si="35"/>
        <v>女</v>
      </c>
      <c r="D740" s="7" t="str">
        <f>"411325199004180048"</f>
        <v>411325199004180048</v>
      </c>
      <c r="E740" s="8" t="str">
        <f>"10960172517"</f>
        <v>10960172517</v>
      </c>
      <c r="F740" s="7" t="str">
        <f t="shared" si="36"/>
        <v>25</v>
      </c>
      <c r="G740" s="7" t="str">
        <f>"17"</f>
        <v>17</v>
      </c>
      <c r="H740" s="7" t="s">
        <v>45</v>
      </c>
      <c r="I740" s="7">
        <v>57.5</v>
      </c>
      <c r="J740" s="9"/>
    </row>
    <row r="741" ht="14.25" spans="1:10">
      <c r="A741" s="7" t="s">
        <v>729</v>
      </c>
      <c r="B741" s="7" t="s">
        <v>754</v>
      </c>
      <c r="C741" s="7" t="str">
        <f t="shared" si="35"/>
        <v>男</v>
      </c>
      <c r="D741" s="7" t="str">
        <f>"411321199103011519"</f>
        <v>411321199103011519</v>
      </c>
      <c r="E741" s="8" t="str">
        <f>"10960172518"</f>
        <v>10960172518</v>
      </c>
      <c r="F741" s="7" t="str">
        <f t="shared" si="36"/>
        <v>25</v>
      </c>
      <c r="G741" s="7" t="str">
        <f>"18"</f>
        <v>18</v>
      </c>
      <c r="H741" s="7" t="s">
        <v>45</v>
      </c>
      <c r="I741" s="7">
        <v>66.9</v>
      </c>
      <c r="J741" s="9"/>
    </row>
    <row r="742" ht="14.25" spans="1:10">
      <c r="A742" s="7" t="s">
        <v>729</v>
      </c>
      <c r="B742" s="7" t="s">
        <v>755</v>
      </c>
      <c r="C742" s="7" t="str">
        <f t="shared" si="35"/>
        <v>女</v>
      </c>
      <c r="D742" s="7" t="str">
        <f>"41132319960623002X"</f>
        <v>41132319960623002X</v>
      </c>
      <c r="E742" s="8" t="str">
        <f>"10960172519"</f>
        <v>10960172519</v>
      </c>
      <c r="F742" s="7" t="str">
        <f t="shared" si="36"/>
        <v>25</v>
      </c>
      <c r="G742" s="7" t="str">
        <f>"19"</f>
        <v>19</v>
      </c>
      <c r="H742" s="7" t="s">
        <v>45</v>
      </c>
      <c r="I742" s="7" t="s">
        <v>14</v>
      </c>
      <c r="J742" s="9"/>
    </row>
    <row r="743" ht="14.25" spans="1:10">
      <c r="A743" s="7" t="s">
        <v>729</v>
      </c>
      <c r="B743" s="7" t="s">
        <v>756</v>
      </c>
      <c r="C743" s="7" t="str">
        <f t="shared" si="35"/>
        <v>男</v>
      </c>
      <c r="D743" s="7" t="str">
        <f>"411321199508230015"</f>
        <v>411321199508230015</v>
      </c>
      <c r="E743" s="8" t="str">
        <f>"10960172520"</f>
        <v>10960172520</v>
      </c>
      <c r="F743" s="7" t="str">
        <f t="shared" si="36"/>
        <v>25</v>
      </c>
      <c r="G743" s="7" t="str">
        <f>"20"</f>
        <v>20</v>
      </c>
      <c r="H743" s="7" t="s">
        <v>45</v>
      </c>
      <c r="I743" s="7" t="s">
        <v>14</v>
      </c>
      <c r="J743" s="9"/>
    </row>
    <row r="744" ht="14.25" spans="1:10">
      <c r="A744" s="7" t="s">
        <v>729</v>
      </c>
      <c r="B744" s="7" t="s">
        <v>757</v>
      </c>
      <c r="C744" s="7" t="str">
        <f t="shared" si="35"/>
        <v>女</v>
      </c>
      <c r="D744" s="7" t="str">
        <f>"412822199503120022"</f>
        <v>412822199503120022</v>
      </c>
      <c r="E744" s="8" t="str">
        <f>"10960172521"</f>
        <v>10960172521</v>
      </c>
      <c r="F744" s="7" t="str">
        <f t="shared" si="36"/>
        <v>25</v>
      </c>
      <c r="G744" s="7" t="str">
        <f>"21"</f>
        <v>21</v>
      </c>
      <c r="H744" s="7" t="s">
        <v>45</v>
      </c>
      <c r="I744" s="7" t="s">
        <v>14</v>
      </c>
      <c r="J744" s="9"/>
    </row>
    <row r="745" ht="14.25" spans="1:10">
      <c r="A745" s="7" t="s">
        <v>729</v>
      </c>
      <c r="B745" s="7" t="s">
        <v>758</v>
      </c>
      <c r="C745" s="7" t="str">
        <f t="shared" si="35"/>
        <v>女</v>
      </c>
      <c r="D745" s="7" t="str">
        <f>"411303199412261527"</f>
        <v>411303199412261527</v>
      </c>
      <c r="E745" s="8" t="str">
        <f>"10960172522"</f>
        <v>10960172522</v>
      </c>
      <c r="F745" s="7" t="str">
        <f t="shared" si="36"/>
        <v>25</v>
      </c>
      <c r="G745" s="7" t="str">
        <f>"22"</f>
        <v>22</v>
      </c>
      <c r="H745" s="7" t="s">
        <v>45</v>
      </c>
      <c r="I745" s="7">
        <v>65.7</v>
      </c>
      <c r="J745" s="9"/>
    </row>
    <row r="746" ht="14.25" spans="1:10">
      <c r="A746" s="7" t="s">
        <v>759</v>
      </c>
      <c r="B746" s="7" t="s">
        <v>760</v>
      </c>
      <c r="C746" s="7" t="str">
        <f t="shared" si="35"/>
        <v>男</v>
      </c>
      <c r="D746" s="7" t="str">
        <f>"411325199801060014"</f>
        <v>411325199801060014</v>
      </c>
      <c r="E746" s="8" t="str">
        <f>"10960182523"</f>
        <v>10960182523</v>
      </c>
      <c r="F746" s="7" t="str">
        <f t="shared" si="36"/>
        <v>25</v>
      </c>
      <c r="G746" s="7" t="str">
        <f>"23"</f>
        <v>23</v>
      </c>
      <c r="H746" s="7" t="s">
        <v>13</v>
      </c>
      <c r="I746" s="7">
        <v>64.5</v>
      </c>
      <c r="J746" s="9"/>
    </row>
    <row r="747" ht="14.25" spans="1:10">
      <c r="A747" s="7" t="s">
        <v>759</v>
      </c>
      <c r="B747" s="7" t="s">
        <v>761</v>
      </c>
      <c r="C747" s="7" t="str">
        <f t="shared" si="35"/>
        <v>女</v>
      </c>
      <c r="D747" s="7" t="str">
        <f>"411325199611040063"</f>
        <v>411325199611040063</v>
      </c>
      <c r="E747" s="8" t="str">
        <f>"10960182524"</f>
        <v>10960182524</v>
      </c>
      <c r="F747" s="7" t="str">
        <f t="shared" si="36"/>
        <v>25</v>
      </c>
      <c r="G747" s="7" t="str">
        <f>"24"</f>
        <v>24</v>
      </c>
      <c r="H747" s="7" t="s">
        <v>13</v>
      </c>
      <c r="I747" s="7">
        <v>66.2</v>
      </c>
      <c r="J747" s="9"/>
    </row>
    <row r="748" ht="14.25" spans="1:10">
      <c r="A748" s="7" t="s">
        <v>759</v>
      </c>
      <c r="B748" s="7" t="s">
        <v>762</v>
      </c>
      <c r="C748" s="7" t="str">
        <f t="shared" si="35"/>
        <v>女</v>
      </c>
      <c r="D748" s="7" t="str">
        <f>"411325199605071349"</f>
        <v>411325199605071349</v>
      </c>
      <c r="E748" s="8" t="str">
        <f>"10960182525"</f>
        <v>10960182525</v>
      </c>
      <c r="F748" s="7" t="str">
        <f t="shared" si="36"/>
        <v>25</v>
      </c>
      <c r="G748" s="7" t="str">
        <f>"25"</f>
        <v>25</v>
      </c>
      <c r="H748" s="7" t="s">
        <v>13</v>
      </c>
      <c r="I748" s="7">
        <v>61</v>
      </c>
      <c r="J748" s="9"/>
    </row>
    <row r="749" ht="14.25" spans="1:10">
      <c r="A749" s="7" t="s">
        <v>759</v>
      </c>
      <c r="B749" s="7" t="s">
        <v>763</v>
      </c>
      <c r="C749" s="7" t="str">
        <f t="shared" si="35"/>
        <v>男</v>
      </c>
      <c r="D749" s="7" t="str">
        <f>"411325199801270417"</f>
        <v>411325199801270417</v>
      </c>
      <c r="E749" s="8" t="str">
        <f>"10960182526"</f>
        <v>10960182526</v>
      </c>
      <c r="F749" s="7" t="str">
        <f t="shared" si="36"/>
        <v>25</v>
      </c>
      <c r="G749" s="7" t="str">
        <f>"26"</f>
        <v>26</v>
      </c>
      <c r="H749" s="7" t="s">
        <v>13</v>
      </c>
      <c r="I749" s="7" t="s">
        <v>14</v>
      </c>
      <c r="J749" s="9"/>
    </row>
    <row r="750" ht="14.25" spans="1:10">
      <c r="A750" s="7" t="s">
        <v>759</v>
      </c>
      <c r="B750" s="7" t="s">
        <v>764</v>
      </c>
      <c r="C750" s="7" t="str">
        <f t="shared" si="35"/>
        <v>女</v>
      </c>
      <c r="D750" s="7" t="str">
        <f>"411325199707260423"</f>
        <v>411325199707260423</v>
      </c>
      <c r="E750" s="8" t="str">
        <f>"10960182527"</f>
        <v>10960182527</v>
      </c>
      <c r="F750" s="7" t="str">
        <f t="shared" si="36"/>
        <v>25</v>
      </c>
      <c r="G750" s="7" t="str">
        <f>"27"</f>
        <v>27</v>
      </c>
      <c r="H750" s="7" t="s">
        <v>13</v>
      </c>
      <c r="I750" s="7">
        <v>65</v>
      </c>
      <c r="J750" s="9"/>
    </row>
    <row r="751" ht="14.25" spans="1:10">
      <c r="A751" s="7" t="s">
        <v>759</v>
      </c>
      <c r="B751" s="7" t="s">
        <v>765</v>
      </c>
      <c r="C751" s="7" t="str">
        <f t="shared" si="35"/>
        <v>男</v>
      </c>
      <c r="D751" s="7" t="str">
        <f>"411325199512016519"</f>
        <v>411325199512016519</v>
      </c>
      <c r="E751" s="8" t="str">
        <f>"10960182528"</f>
        <v>10960182528</v>
      </c>
      <c r="F751" s="7" t="str">
        <f t="shared" si="36"/>
        <v>25</v>
      </c>
      <c r="G751" s="7" t="str">
        <f>"28"</f>
        <v>28</v>
      </c>
      <c r="H751" s="7" t="s">
        <v>13</v>
      </c>
      <c r="I751" s="7">
        <v>59.9</v>
      </c>
      <c r="J751" s="9"/>
    </row>
    <row r="752" ht="14.25" spans="1:10">
      <c r="A752" s="7" t="s">
        <v>759</v>
      </c>
      <c r="B752" s="7" t="s">
        <v>766</v>
      </c>
      <c r="C752" s="7" t="str">
        <f t="shared" si="35"/>
        <v>女</v>
      </c>
      <c r="D752" s="7" t="str">
        <f>"411325199502170424"</f>
        <v>411325199502170424</v>
      </c>
      <c r="E752" s="8" t="str">
        <f>"10960182529"</f>
        <v>10960182529</v>
      </c>
      <c r="F752" s="7" t="str">
        <f t="shared" si="36"/>
        <v>25</v>
      </c>
      <c r="G752" s="7" t="str">
        <f>"29"</f>
        <v>29</v>
      </c>
      <c r="H752" s="7" t="s">
        <v>13</v>
      </c>
      <c r="I752" s="7">
        <v>70.5</v>
      </c>
      <c r="J752" s="9"/>
    </row>
    <row r="753" ht="14.25" spans="1:10">
      <c r="A753" s="7" t="s">
        <v>759</v>
      </c>
      <c r="B753" s="7" t="s">
        <v>767</v>
      </c>
      <c r="C753" s="7" t="str">
        <f t="shared" si="35"/>
        <v>男</v>
      </c>
      <c r="D753" s="7" t="str">
        <f>"411321199610240017"</f>
        <v>411321199610240017</v>
      </c>
      <c r="E753" s="8" t="str">
        <f>"10960182530"</f>
        <v>10960182530</v>
      </c>
      <c r="F753" s="7" t="str">
        <f t="shared" si="36"/>
        <v>25</v>
      </c>
      <c r="G753" s="7" t="str">
        <f>"30"</f>
        <v>30</v>
      </c>
      <c r="H753" s="7" t="s">
        <v>13</v>
      </c>
      <c r="I753" s="7" t="s">
        <v>14</v>
      </c>
      <c r="J753" s="9"/>
    </row>
    <row r="754" ht="14.25" spans="1:10">
      <c r="A754" s="7" t="s">
        <v>759</v>
      </c>
      <c r="B754" s="7" t="s">
        <v>768</v>
      </c>
      <c r="C754" s="7" t="str">
        <f t="shared" si="35"/>
        <v>女</v>
      </c>
      <c r="D754" s="7" t="str">
        <f>"411325199212010027"</f>
        <v>411325199212010027</v>
      </c>
      <c r="E754" s="8" t="str">
        <f>"10960182601"</f>
        <v>10960182601</v>
      </c>
      <c r="F754" s="7" t="str">
        <f t="shared" ref="F754:F783" si="37">"26"</f>
        <v>26</v>
      </c>
      <c r="G754" s="7" t="str">
        <f>"01"</f>
        <v>01</v>
      </c>
      <c r="H754" s="7" t="s">
        <v>13</v>
      </c>
      <c r="I754" s="7">
        <v>80.7</v>
      </c>
      <c r="J754" s="9"/>
    </row>
    <row r="755" ht="14.25" spans="1:10">
      <c r="A755" s="7" t="s">
        <v>759</v>
      </c>
      <c r="B755" s="7" t="s">
        <v>769</v>
      </c>
      <c r="C755" s="7" t="str">
        <f t="shared" si="35"/>
        <v>男</v>
      </c>
      <c r="D755" s="7" t="str">
        <f>"411303199309164235"</f>
        <v>411303199309164235</v>
      </c>
      <c r="E755" s="8" t="str">
        <f>"10960182602"</f>
        <v>10960182602</v>
      </c>
      <c r="F755" s="7" t="str">
        <f t="shared" si="37"/>
        <v>26</v>
      </c>
      <c r="G755" s="7" t="str">
        <f>"02"</f>
        <v>02</v>
      </c>
      <c r="H755" s="7" t="s">
        <v>13</v>
      </c>
      <c r="I755" s="7">
        <v>74.9</v>
      </c>
      <c r="J755" s="9"/>
    </row>
    <row r="756" ht="14.25" spans="1:10">
      <c r="A756" s="7" t="s">
        <v>759</v>
      </c>
      <c r="B756" s="7" t="s">
        <v>770</v>
      </c>
      <c r="C756" s="7" t="str">
        <f t="shared" si="35"/>
        <v>男</v>
      </c>
      <c r="D756" s="7" t="str">
        <f>"411325199412110014"</f>
        <v>411325199412110014</v>
      </c>
      <c r="E756" s="8" t="str">
        <f>"10960182603"</f>
        <v>10960182603</v>
      </c>
      <c r="F756" s="7" t="str">
        <f t="shared" si="37"/>
        <v>26</v>
      </c>
      <c r="G756" s="7" t="str">
        <f>"03"</f>
        <v>03</v>
      </c>
      <c r="H756" s="7" t="s">
        <v>13</v>
      </c>
      <c r="I756" s="7" t="s">
        <v>14</v>
      </c>
      <c r="J756" s="9"/>
    </row>
    <row r="757" ht="14.25" spans="1:10">
      <c r="A757" s="7" t="s">
        <v>759</v>
      </c>
      <c r="B757" s="7" t="s">
        <v>771</v>
      </c>
      <c r="C757" s="7" t="str">
        <f t="shared" si="35"/>
        <v>女</v>
      </c>
      <c r="D757" s="7" t="str">
        <f>"411322199609172025"</f>
        <v>411322199609172025</v>
      </c>
      <c r="E757" s="8" t="str">
        <f>"10960182604"</f>
        <v>10960182604</v>
      </c>
      <c r="F757" s="7" t="str">
        <f t="shared" si="37"/>
        <v>26</v>
      </c>
      <c r="G757" s="7" t="str">
        <f>"04"</f>
        <v>04</v>
      </c>
      <c r="H757" s="7" t="s">
        <v>13</v>
      </c>
      <c r="I757" s="7" t="s">
        <v>14</v>
      </c>
      <c r="J757" s="9"/>
    </row>
    <row r="758" ht="14.25" spans="1:10">
      <c r="A758" s="7" t="s">
        <v>759</v>
      </c>
      <c r="B758" s="7" t="s">
        <v>772</v>
      </c>
      <c r="C758" s="7" t="str">
        <f t="shared" si="35"/>
        <v>女</v>
      </c>
      <c r="D758" s="7" t="str">
        <f>"411325199212100022"</f>
        <v>411325199212100022</v>
      </c>
      <c r="E758" s="8" t="str">
        <f>"10960182605"</f>
        <v>10960182605</v>
      </c>
      <c r="F758" s="7" t="str">
        <f t="shared" si="37"/>
        <v>26</v>
      </c>
      <c r="G758" s="7" t="str">
        <f>"05"</f>
        <v>05</v>
      </c>
      <c r="H758" s="7" t="s">
        <v>13</v>
      </c>
      <c r="I758" s="7">
        <v>66.3</v>
      </c>
      <c r="J758" s="9"/>
    </row>
    <row r="759" ht="14.25" spans="1:10">
      <c r="A759" s="7" t="s">
        <v>759</v>
      </c>
      <c r="B759" s="7" t="s">
        <v>773</v>
      </c>
      <c r="C759" s="7" t="str">
        <f t="shared" si="35"/>
        <v>男</v>
      </c>
      <c r="D759" s="7" t="str">
        <f>"411326199609212416"</f>
        <v>411326199609212416</v>
      </c>
      <c r="E759" s="8" t="str">
        <f>"10960182606"</f>
        <v>10960182606</v>
      </c>
      <c r="F759" s="7" t="str">
        <f t="shared" si="37"/>
        <v>26</v>
      </c>
      <c r="G759" s="7" t="str">
        <f>"06"</f>
        <v>06</v>
      </c>
      <c r="H759" s="7" t="s">
        <v>13</v>
      </c>
      <c r="I759" s="7">
        <v>65.5</v>
      </c>
      <c r="J759" s="9"/>
    </row>
    <row r="760" ht="14.25" spans="1:10">
      <c r="A760" s="7" t="s">
        <v>759</v>
      </c>
      <c r="B760" s="7" t="s">
        <v>774</v>
      </c>
      <c r="C760" s="7" t="str">
        <f t="shared" si="35"/>
        <v>女</v>
      </c>
      <c r="D760" s="7" t="str">
        <f>"411325199402125028"</f>
        <v>411325199402125028</v>
      </c>
      <c r="E760" s="8" t="str">
        <f>"10960182607"</f>
        <v>10960182607</v>
      </c>
      <c r="F760" s="7" t="str">
        <f t="shared" si="37"/>
        <v>26</v>
      </c>
      <c r="G760" s="7" t="str">
        <f>"07"</f>
        <v>07</v>
      </c>
      <c r="H760" s="7" t="s">
        <v>13</v>
      </c>
      <c r="I760" s="7" t="s">
        <v>14</v>
      </c>
      <c r="J760" s="9"/>
    </row>
    <row r="761" ht="14.25" spans="1:10">
      <c r="A761" s="7" t="s">
        <v>759</v>
      </c>
      <c r="B761" s="7" t="s">
        <v>775</v>
      </c>
      <c r="C761" s="7" t="str">
        <f t="shared" si="35"/>
        <v>女</v>
      </c>
      <c r="D761" s="7" t="str">
        <f>"411325199802022343"</f>
        <v>411325199802022343</v>
      </c>
      <c r="E761" s="8" t="str">
        <f>"10960182608"</f>
        <v>10960182608</v>
      </c>
      <c r="F761" s="7" t="str">
        <f t="shared" si="37"/>
        <v>26</v>
      </c>
      <c r="G761" s="7" t="str">
        <f>"08"</f>
        <v>08</v>
      </c>
      <c r="H761" s="7" t="s">
        <v>13</v>
      </c>
      <c r="I761" s="7" t="s">
        <v>14</v>
      </c>
      <c r="J761" s="9"/>
    </row>
    <row r="762" ht="14.25" spans="1:10">
      <c r="A762" s="7" t="s">
        <v>759</v>
      </c>
      <c r="B762" s="7" t="s">
        <v>776</v>
      </c>
      <c r="C762" s="7" t="str">
        <f t="shared" si="35"/>
        <v>男</v>
      </c>
      <c r="D762" s="7" t="str">
        <f>"411325199704102315"</f>
        <v>411325199704102315</v>
      </c>
      <c r="E762" s="8" t="str">
        <f>"10960182609"</f>
        <v>10960182609</v>
      </c>
      <c r="F762" s="7" t="str">
        <f t="shared" si="37"/>
        <v>26</v>
      </c>
      <c r="G762" s="7" t="str">
        <f>"09"</f>
        <v>09</v>
      </c>
      <c r="H762" s="7" t="s">
        <v>13</v>
      </c>
      <c r="I762" s="7" t="s">
        <v>14</v>
      </c>
      <c r="J762" s="9"/>
    </row>
    <row r="763" ht="14.25" spans="1:10">
      <c r="A763" s="7" t="s">
        <v>759</v>
      </c>
      <c r="B763" s="7" t="s">
        <v>777</v>
      </c>
      <c r="C763" s="7" t="str">
        <f t="shared" si="35"/>
        <v>男</v>
      </c>
      <c r="D763" s="7" t="str">
        <f>"411324199209222831"</f>
        <v>411324199209222831</v>
      </c>
      <c r="E763" s="8" t="str">
        <f>"10960182610"</f>
        <v>10960182610</v>
      </c>
      <c r="F763" s="7" t="str">
        <f t="shared" si="37"/>
        <v>26</v>
      </c>
      <c r="G763" s="7" t="str">
        <f>"10"</f>
        <v>10</v>
      </c>
      <c r="H763" s="7" t="s">
        <v>13</v>
      </c>
      <c r="I763" s="7" t="s">
        <v>14</v>
      </c>
      <c r="J763" s="9"/>
    </row>
    <row r="764" ht="14.25" spans="1:10">
      <c r="A764" s="7" t="s">
        <v>759</v>
      </c>
      <c r="B764" s="7" t="s">
        <v>778</v>
      </c>
      <c r="C764" s="7" t="str">
        <f t="shared" si="35"/>
        <v>男</v>
      </c>
      <c r="D764" s="7" t="str">
        <f>"411325199305080411"</f>
        <v>411325199305080411</v>
      </c>
      <c r="E764" s="8" t="str">
        <f>"10960182611"</f>
        <v>10960182611</v>
      </c>
      <c r="F764" s="7" t="str">
        <f t="shared" si="37"/>
        <v>26</v>
      </c>
      <c r="G764" s="7" t="str">
        <f>"11"</f>
        <v>11</v>
      </c>
      <c r="H764" s="7" t="s">
        <v>13</v>
      </c>
      <c r="I764" s="7">
        <v>80.8</v>
      </c>
      <c r="J764" s="9"/>
    </row>
    <row r="765" ht="14.25" spans="1:10">
      <c r="A765" s="7" t="s">
        <v>759</v>
      </c>
      <c r="B765" s="7" t="s">
        <v>779</v>
      </c>
      <c r="C765" s="7" t="str">
        <f t="shared" si="35"/>
        <v>女</v>
      </c>
      <c r="D765" s="7" t="str">
        <f>"411325199603030041"</f>
        <v>411325199603030041</v>
      </c>
      <c r="E765" s="8" t="str">
        <f>"10960182612"</f>
        <v>10960182612</v>
      </c>
      <c r="F765" s="7" t="str">
        <f t="shared" si="37"/>
        <v>26</v>
      </c>
      <c r="G765" s="7" t="str">
        <f>"12"</f>
        <v>12</v>
      </c>
      <c r="H765" s="7" t="s">
        <v>13</v>
      </c>
      <c r="I765" s="7">
        <v>66.9</v>
      </c>
      <c r="J765" s="9"/>
    </row>
    <row r="766" ht="14.25" spans="1:10">
      <c r="A766" s="7" t="s">
        <v>759</v>
      </c>
      <c r="B766" s="7" t="s">
        <v>780</v>
      </c>
      <c r="C766" s="7" t="str">
        <f t="shared" si="35"/>
        <v>男</v>
      </c>
      <c r="D766" s="7" t="str">
        <f>"41130319921115555X"</f>
        <v>41130319921115555X</v>
      </c>
      <c r="E766" s="8" t="str">
        <f>"10960182613"</f>
        <v>10960182613</v>
      </c>
      <c r="F766" s="7" t="str">
        <f t="shared" si="37"/>
        <v>26</v>
      </c>
      <c r="G766" s="7" t="str">
        <f>"13"</f>
        <v>13</v>
      </c>
      <c r="H766" s="7" t="s">
        <v>13</v>
      </c>
      <c r="I766" s="7" t="s">
        <v>14</v>
      </c>
      <c r="J766" s="9"/>
    </row>
    <row r="767" ht="14.25" spans="1:10">
      <c r="A767" s="7" t="s">
        <v>759</v>
      </c>
      <c r="B767" s="7" t="s">
        <v>781</v>
      </c>
      <c r="C767" s="7" t="str">
        <f t="shared" si="35"/>
        <v>男</v>
      </c>
      <c r="D767" s="7" t="str">
        <f>"411302199606213770"</f>
        <v>411302199606213770</v>
      </c>
      <c r="E767" s="8" t="str">
        <f>"10960182614"</f>
        <v>10960182614</v>
      </c>
      <c r="F767" s="7" t="str">
        <f t="shared" si="37"/>
        <v>26</v>
      </c>
      <c r="G767" s="7" t="str">
        <f>"14"</f>
        <v>14</v>
      </c>
      <c r="H767" s="7" t="s">
        <v>13</v>
      </c>
      <c r="I767" s="7">
        <v>69.1</v>
      </c>
      <c r="J767" s="9"/>
    </row>
    <row r="768" ht="14.25" spans="1:10">
      <c r="A768" s="7" t="s">
        <v>759</v>
      </c>
      <c r="B768" s="7" t="s">
        <v>782</v>
      </c>
      <c r="C768" s="7" t="str">
        <f t="shared" si="35"/>
        <v>女</v>
      </c>
      <c r="D768" s="7" t="str">
        <f>"411325199201190448"</f>
        <v>411325199201190448</v>
      </c>
      <c r="E768" s="8" t="str">
        <f>"10960182615"</f>
        <v>10960182615</v>
      </c>
      <c r="F768" s="7" t="str">
        <f t="shared" si="37"/>
        <v>26</v>
      </c>
      <c r="G768" s="7" t="str">
        <f>"15"</f>
        <v>15</v>
      </c>
      <c r="H768" s="7" t="s">
        <v>13</v>
      </c>
      <c r="I768" s="7">
        <v>63.7</v>
      </c>
      <c r="J768" s="9"/>
    </row>
    <row r="769" ht="14.25" spans="1:10">
      <c r="A769" s="7" t="s">
        <v>759</v>
      </c>
      <c r="B769" s="7" t="s">
        <v>783</v>
      </c>
      <c r="C769" s="7" t="str">
        <f t="shared" si="35"/>
        <v>男</v>
      </c>
      <c r="D769" s="7" t="str">
        <f>"410421199101025559"</f>
        <v>410421199101025559</v>
      </c>
      <c r="E769" s="8" t="str">
        <f>"10960182616"</f>
        <v>10960182616</v>
      </c>
      <c r="F769" s="7" t="str">
        <f t="shared" si="37"/>
        <v>26</v>
      </c>
      <c r="G769" s="7" t="str">
        <f>"16"</f>
        <v>16</v>
      </c>
      <c r="H769" s="7" t="s">
        <v>13</v>
      </c>
      <c r="I769" s="7">
        <v>75.2</v>
      </c>
      <c r="J769" s="9"/>
    </row>
    <row r="770" ht="14.25" spans="1:10">
      <c r="A770" s="7" t="s">
        <v>759</v>
      </c>
      <c r="B770" s="7" t="s">
        <v>784</v>
      </c>
      <c r="C770" s="7" t="str">
        <f t="shared" si="35"/>
        <v>男</v>
      </c>
      <c r="D770" s="7" t="str">
        <f>"411329199505261618"</f>
        <v>411329199505261618</v>
      </c>
      <c r="E770" s="8" t="str">
        <f>"10960182617"</f>
        <v>10960182617</v>
      </c>
      <c r="F770" s="7" t="str">
        <f t="shared" si="37"/>
        <v>26</v>
      </c>
      <c r="G770" s="7" t="str">
        <f>"17"</f>
        <v>17</v>
      </c>
      <c r="H770" s="7" t="s">
        <v>13</v>
      </c>
      <c r="I770" s="7">
        <v>70.2</v>
      </c>
      <c r="J770" s="9"/>
    </row>
    <row r="771" ht="14.25" spans="1:10">
      <c r="A771" s="7" t="s">
        <v>759</v>
      </c>
      <c r="B771" s="7" t="s">
        <v>785</v>
      </c>
      <c r="C771" s="7" t="str">
        <f t="shared" si="35"/>
        <v>男</v>
      </c>
      <c r="D771" s="7" t="str">
        <f>"411328199405160733"</f>
        <v>411328199405160733</v>
      </c>
      <c r="E771" s="8" t="str">
        <f>"10960182618"</f>
        <v>10960182618</v>
      </c>
      <c r="F771" s="7" t="str">
        <f t="shared" si="37"/>
        <v>26</v>
      </c>
      <c r="G771" s="7" t="str">
        <f>"18"</f>
        <v>18</v>
      </c>
      <c r="H771" s="7" t="s">
        <v>13</v>
      </c>
      <c r="I771" s="7" t="s">
        <v>14</v>
      </c>
      <c r="J771" s="9"/>
    </row>
    <row r="772" ht="14.25" spans="1:10">
      <c r="A772" s="7" t="s">
        <v>759</v>
      </c>
      <c r="B772" s="7" t="s">
        <v>786</v>
      </c>
      <c r="C772" s="7" t="str">
        <f t="shared" ref="C772:C835" si="38">IF(MOD(MID(D772,17,1),2),"男","女")</f>
        <v>女</v>
      </c>
      <c r="D772" s="7" t="str">
        <f>"411325199405166028"</f>
        <v>411325199405166028</v>
      </c>
      <c r="E772" s="8" t="str">
        <f>"10960182619"</f>
        <v>10960182619</v>
      </c>
      <c r="F772" s="7" t="str">
        <f t="shared" si="37"/>
        <v>26</v>
      </c>
      <c r="G772" s="7" t="str">
        <f>"19"</f>
        <v>19</v>
      </c>
      <c r="H772" s="7" t="s">
        <v>13</v>
      </c>
      <c r="I772" s="7">
        <v>61</v>
      </c>
      <c r="J772" s="9"/>
    </row>
    <row r="773" ht="14.25" spans="1:10">
      <c r="A773" s="7" t="s">
        <v>759</v>
      </c>
      <c r="B773" s="7" t="s">
        <v>787</v>
      </c>
      <c r="C773" s="7" t="str">
        <f t="shared" si="38"/>
        <v>女</v>
      </c>
      <c r="D773" s="7" t="str">
        <f>"411302199606176041"</f>
        <v>411302199606176041</v>
      </c>
      <c r="E773" s="8" t="str">
        <f>"10960182620"</f>
        <v>10960182620</v>
      </c>
      <c r="F773" s="7" t="str">
        <f t="shared" si="37"/>
        <v>26</v>
      </c>
      <c r="G773" s="7" t="str">
        <f>"20"</f>
        <v>20</v>
      </c>
      <c r="H773" s="7" t="s">
        <v>13</v>
      </c>
      <c r="I773" s="7">
        <v>70.5</v>
      </c>
      <c r="J773" s="9"/>
    </row>
    <row r="774" ht="14.25" spans="1:10">
      <c r="A774" s="7" t="s">
        <v>759</v>
      </c>
      <c r="B774" s="7" t="s">
        <v>788</v>
      </c>
      <c r="C774" s="7" t="str">
        <f t="shared" si="38"/>
        <v>女</v>
      </c>
      <c r="D774" s="7" t="str">
        <f>"411323199510070041"</f>
        <v>411323199510070041</v>
      </c>
      <c r="E774" s="8" t="str">
        <f>"10960182621"</f>
        <v>10960182621</v>
      </c>
      <c r="F774" s="7" t="str">
        <f t="shared" si="37"/>
        <v>26</v>
      </c>
      <c r="G774" s="7" t="str">
        <f>"21"</f>
        <v>21</v>
      </c>
      <c r="H774" s="7" t="s">
        <v>13</v>
      </c>
      <c r="I774" s="7" t="s">
        <v>14</v>
      </c>
      <c r="J774" s="9"/>
    </row>
    <row r="775" ht="14.25" spans="1:10">
      <c r="A775" s="7" t="s">
        <v>759</v>
      </c>
      <c r="B775" s="7" t="s">
        <v>789</v>
      </c>
      <c r="C775" s="7" t="str">
        <f t="shared" si="38"/>
        <v>女</v>
      </c>
      <c r="D775" s="7" t="str">
        <f>"411328199610012983"</f>
        <v>411328199610012983</v>
      </c>
      <c r="E775" s="8" t="str">
        <f>"10960182622"</f>
        <v>10960182622</v>
      </c>
      <c r="F775" s="7" t="str">
        <f t="shared" si="37"/>
        <v>26</v>
      </c>
      <c r="G775" s="7" t="str">
        <f>"22"</f>
        <v>22</v>
      </c>
      <c r="H775" s="7" t="s">
        <v>13</v>
      </c>
      <c r="I775" s="7" t="s">
        <v>14</v>
      </c>
      <c r="J775" s="9"/>
    </row>
    <row r="776" ht="14.25" spans="1:10">
      <c r="A776" s="7" t="s">
        <v>759</v>
      </c>
      <c r="B776" s="7" t="s">
        <v>790</v>
      </c>
      <c r="C776" s="7" t="str">
        <f t="shared" si="38"/>
        <v>男</v>
      </c>
      <c r="D776" s="7" t="str">
        <f>"411303198909090036"</f>
        <v>411303198909090036</v>
      </c>
      <c r="E776" s="8" t="str">
        <f>"10960182623"</f>
        <v>10960182623</v>
      </c>
      <c r="F776" s="7" t="str">
        <f t="shared" si="37"/>
        <v>26</v>
      </c>
      <c r="G776" s="7" t="str">
        <f>"23"</f>
        <v>23</v>
      </c>
      <c r="H776" s="7" t="s">
        <v>13</v>
      </c>
      <c r="I776" s="7" t="s">
        <v>14</v>
      </c>
      <c r="J776" s="9"/>
    </row>
    <row r="777" ht="14.25" spans="1:10">
      <c r="A777" s="7" t="s">
        <v>759</v>
      </c>
      <c r="B777" s="7" t="s">
        <v>791</v>
      </c>
      <c r="C777" s="7" t="str">
        <f t="shared" si="38"/>
        <v>女</v>
      </c>
      <c r="D777" s="7" t="str">
        <f>"411325199406246046"</f>
        <v>411325199406246046</v>
      </c>
      <c r="E777" s="8" t="str">
        <f>"10960182624"</f>
        <v>10960182624</v>
      </c>
      <c r="F777" s="7" t="str">
        <f t="shared" si="37"/>
        <v>26</v>
      </c>
      <c r="G777" s="7" t="str">
        <f>"24"</f>
        <v>24</v>
      </c>
      <c r="H777" s="7" t="s">
        <v>13</v>
      </c>
      <c r="I777" s="7" t="s">
        <v>14</v>
      </c>
      <c r="J777" s="9"/>
    </row>
    <row r="778" ht="14.25" spans="1:10">
      <c r="A778" s="7" t="s">
        <v>759</v>
      </c>
      <c r="B778" s="7" t="s">
        <v>792</v>
      </c>
      <c r="C778" s="7" t="str">
        <f t="shared" si="38"/>
        <v>女</v>
      </c>
      <c r="D778" s="7" t="str">
        <f>"411325199704080048"</f>
        <v>411325199704080048</v>
      </c>
      <c r="E778" s="8" t="str">
        <f>"10960182625"</f>
        <v>10960182625</v>
      </c>
      <c r="F778" s="7" t="str">
        <f t="shared" si="37"/>
        <v>26</v>
      </c>
      <c r="G778" s="7" t="str">
        <f>"25"</f>
        <v>25</v>
      </c>
      <c r="H778" s="7" t="s">
        <v>13</v>
      </c>
      <c r="I778" s="7">
        <v>64.4</v>
      </c>
      <c r="J778" s="9"/>
    </row>
    <row r="779" ht="14.25" spans="1:10">
      <c r="A779" s="7" t="s">
        <v>759</v>
      </c>
      <c r="B779" s="7" t="s">
        <v>793</v>
      </c>
      <c r="C779" s="7" t="str">
        <f t="shared" si="38"/>
        <v>女</v>
      </c>
      <c r="D779" s="7" t="str">
        <f>"411323199503136321"</f>
        <v>411323199503136321</v>
      </c>
      <c r="E779" s="8" t="str">
        <f>"10960182626"</f>
        <v>10960182626</v>
      </c>
      <c r="F779" s="7" t="str">
        <f t="shared" si="37"/>
        <v>26</v>
      </c>
      <c r="G779" s="7" t="str">
        <f>"26"</f>
        <v>26</v>
      </c>
      <c r="H779" s="7" t="s">
        <v>13</v>
      </c>
      <c r="I779" s="7" t="s">
        <v>14</v>
      </c>
      <c r="J779" s="9"/>
    </row>
    <row r="780" ht="14.25" spans="1:10">
      <c r="A780" s="7" t="s">
        <v>759</v>
      </c>
      <c r="B780" s="7" t="s">
        <v>794</v>
      </c>
      <c r="C780" s="7" t="str">
        <f t="shared" si="38"/>
        <v>女</v>
      </c>
      <c r="D780" s="7" t="str">
        <f>"41132519971115042X"</f>
        <v>41132519971115042X</v>
      </c>
      <c r="E780" s="8" t="str">
        <f>"10960182627"</f>
        <v>10960182627</v>
      </c>
      <c r="F780" s="7" t="str">
        <f t="shared" si="37"/>
        <v>26</v>
      </c>
      <c r="G780" s="7" t="str">
        <f>"27"</f>
        <v>27</v>
      </c>
      <c r="H780" s="7" t="s">
        <v>13</v>
      </c>
      <c r="I780" s="7" t="s">
        <v>14</v>
      </c>
      <c r="J780" s="9"/>
    </row>
    <row r="781" ht="14.25" spans="1:10">
      <c r="A781" s="7" t="s">
        <v>759</v>
      </c>
      <c r="B781" s="7" t="s">
        <v>795</v>
      </c>
      <c r="C781" s="7" t="str">
        <f t="shared" si="38"/>
        <v>女</v>
      </c>
      <c r="D781" s="7" t="str">
        <f>"411325199512175026"</f>
        <v>411325199512175026</v>
      </c>
      <c r="E781" s="8" t="str">
        <f>"10960182628"</f>
        <v>10960182628</v>
      </c>
      <c r="F781" s="7" t="str">
        <f t="shared" si="37"/>
        <v>26</v>
      </c>
      <c r="G781" s="7" t="str">
        <f>"28"</f>
        <v>28</v>
      </c>
      <c r="H781" s="7" t="s">
        <v>13</v>
      </c>
      <c r="I781" s="7" t="s">
        <v>14</v>
      </c>
      <c r="J781" s="9"/>
    </row>
    <row r="782" ht="14.25" spans="1:10">
      <c r="A782" s="7" t="s">
        <v>759</v>
      </c>
      <c r="B782" s="7" t="s">
        <v>796</v>
      </c>
      <c r="C782" s="7" t="str">
        <f t="shared" si="38"/>
        <v>女</v>
      </c>
      <c r="D782" s="7" t="str">
        <f>"41132119971005182X"</f>
        <v>41132119971005182X</v>
      </c>
      <c r="E782" s="8" t="str">
        <f>"10960182629"</f>
        <v>10960182629</v>
      </c>
      <c r="F782" s="7" t="str">
        <f t="shared" si="37"/>
        <v>26</v>
      </c>
      <c r="G782" s="7" t="str">
        <f>"29"</f>
        <v>29</v>
      </c>
      <c r="H782" s="7" t="s">
        <v>13</v>
      </c>
      <c r="I782" s="7" t="s">
        <v>14</v>
      </c>
      <c r="J782" s="9"/>
    </row>
    <row r="783" ht="14.25" spans="1:10">
      <c r="A783" s="7" t="s">
        <v>759</v>
      </c>
      <c r="B783" s="7" t="s">
        <v>797</v>
      </c>
      <c r="C783" s="7" t="str">
        <f t="shared" si="38"/>
        <v>男</v>
      </c>
      <c r="D783" s="7" t="str">
        <f>"411502198710220010"</f>
        <v>411502198710220010</v>
      </c>
      <c r="E783" s="8" t="str">
        <f>"10960182630"</f>
        <v>10960182630</v>
      </c>
      <c r="F783" s="7" t="str">
        <f t="shared" si="37"/>
        <v>26</v>
      </c>
      <c r="G783" s="7" t="str">
        <f>"30"</f>
        <v>30</v>
      </c>
      <c r="H783" s="7" t="s">
        <v>13</v>
      </c>
      <c r="I783" s="7" t="s">
        <v>14</v>
      </c>
      <c r="J783" s="9"/>
    </row>
    <row r="784" ht="14.25" spans="1:10">
      <c r="A784" s="7" t="s">
        <v>759</v>
      </c>
      <c r="B784" s="7" t="s">
        <v>798</v>
      </c>
      <c r="C784" s="7" t="str">
        <f t="shared" si="38"/>
        <v>女</v>
      </c>
      <c r="D784" s="7" t="str">
        <f>"411330199708061523"</f>
        <v>411330199708061523</v>
      </c>
      <c r="E784" s="8" t="str">
        <f>"10960182701"</f>
        <v>10960182701</v>
      </c>
      <c r="F784" s="7" t="str">
        <f t="shared" ref="F784:F813" si="39">"27"</f>
        <v>27</v>
      </c>
      <c r="G784" s="7" t="str">
        <f>"01"</f>
        <v>01</v>
      </c>
      <c r="H784" s="7" t="s">
        <v>13</v>
      </c>
      <c r="I784" s="7" t="s">
        <v>14</v>
      </c>
      <c r="J784" s="9"/>
    </row>
    <row r="785" ht="14.25" spans="1:10">
      <c r="A785" s="7" t="s">
        <v>759</v>
      </c>
      <c r="B785" s="7" t="s">
        <v>799</v>
      </c>
      <c r="C785" s="7" t="str">
        <f t="shared" si="38"/>
        <v>男</v>
      </c>
      <c r="D785" s="7" t="str">
        <f>"411403199107107916"</f>
        <v>411403199107107916</v>
      </c>
      <c r="E785" s="8" t="str">
        <f>"10960182702"</f>
        <v>10960182702</v>
      </c>
      <c r="F785" s="7" t="str">
        <f t="shared" si="39"/>
        <v>27</v>
      </c>
      <c r="G785" s="7" t="str">
        <f>"02"</f>
        <v>02</v>
      </c>
      <c r="H785" s="7" t="s">
        <v>13</v>
      </c>
      <c r="I785" s="7">
        <v>72.4</v>
      </c>
      <c r="J785" s="9"/>
    </row>
    <row r="786" ht="14.25" spans="1:10">
      <c r="A786" s="7" t="s">
        <v>759</v>
      </c>
      <c r="B786" s="7" t="s">
        <v>800</v>
      </c>
      <c r="C786" s="7" t="str">
        <f t="shared" si="38"/>
        <v>男</v>
      </c>
      <c r="D786" s="7" t="str">
        <f>"411327199110210610"</f>
        <v>411327199110210610</v>
      </c>
      <c r="E786" s="8" t="str">
        <f>"10960182703"</f>
        <v>10960182703</v>
      </c>
      <c r="F786" s="7" t="str">
        <f t="shared" si="39"/>
        <v>27</v>
      </c>
      <c r="G786" s="7" t="str">
        <f>"03"</f>
        <v>03</v>
      </c>
      <c r="H786" s="7" t="s">
        <v>13</v>
      </c>
      <c r="I786" s="7">
        <v>60.8</v>
      </c>
      <c r="J786" s="9"/>
    </row>
    <row r="787" ht="14.25" spans="1:10">
      <c r="A787" s="7" t="s">
        <v>759</v>
      </c>
      <c r="B787" s="7" t="s">
        <v>801</v>
      </c>
      <c r="C787" s="7" t="str">
        <f t="shared" si="38"/>
        <v>男</v>
      </c>
      <c r="D787" s="7" t="str">
        <f>"411321199410131318"</f>
        <v>411321199410131318</v>
      </c>
      <c r="E787" s="8" t="str">
        <f>"10960182704"</f>
        <v>10960182704</v>
      </c>
      <c r="F787" s="7" t="str">
        <f t="shared" si="39"/>
        <v>27</v>
      </c>
      <c r="G787" s="7" t="str">
        <f>"04"</f>
        <v>04</v>
      </c>
      <c r="H787" s="7" t="s">
        <v>13</v>
      </c>
      <c r="I787" s="7">
        <v>73.6</v>
      </c>
      <c r="J787" s="9"/>
    </row>
    <row r="788" ht="14.25" spans="1:10">
      <c r="A788" s="7" t="s">
        <v>759</v>
      </c>
      <c r="B788" s="7" t="s">
        <v>802</v>
      </c>
      <c r="C788" s="7" t="str">
        <f t="shared" si="38"/>
        <v>女</v>
      </c>
      <c r="D788" s="7" t="str">
        <f>"411325199303012968"</f>
        <v>411325199303012968</v>
      </c>
      <c r="E788" s="8" t="str">
        <f>"10960182705"</f>
        <v>10960182705</v>
      </c>
      <c r="F788" s="7" t="str">
        <f t="shared" si="39"/>
        <v>27</v>
      </c>
      <c r="G788" s="7" t="str">
        <f>"05"</f>
        <v>05</v>
      </c>
      <c r="H788" s="7" t="s">
        <v>13</v>
      </c>
      <c r="I788" s="7" t="s">
        <v>14</v>
      </c>
      <c r="J788" s="9"/>
    </row>
    <row r="789" ht="14.25" spans="1:10">
      <c r="A789" s="7" t="s">
        <v>759</v>
      </c>
      <c r="B789" s="7" t="s">
        <v>803</v>
      </c>
      <c r="C789" s="7" t="str">
        <f t="shared" si="38"/>
        <v>女</v>
      </c>
      <c r="D789" s="7" t="str">
        <f>"411325199507160428"</f>
        <v>411325199507160428</v>
      </c>
      <c r="E789" s="8" t="str">
        <f>"10960182706"</f>
        <v>10960182706</v>
      </c>
      <c r="F789" s="7" t="str">
        <f t="shared" si="39"/>
        <v>27</v>
      </c>
      <c r="G789" s="7" t="str">
        <f>"06"</f>
        <v>06</v>
      </c>
      <c r="H789" s="7" t="s">
        <v>13</v>
      </c>
      <c r="I789" s="7">
        <v>62.9</v>
      </c>
      <c r="J789" s="9"/>
    </row>
    <row r="790" ht="14.25" spans="1:10">
      <c r="A790" s="7" t="s">
        <v>759</v>
      </c>
      <c r="B790" s="7" t="s">
        <v>268</v>
      </c>
      <c r="C790" s="7" t="str">
        <f t="shared" si="38"/>
        <v>女</v>
      </c>
      <c r="D790" s="7" t="str">
        <f>"411325199508155524"</f>
        <v>411325199508155524</v>
      </c>
      <c r="E790" s="8" t="str">
        <f>"10960182707"</f>
        <v>10960182707</v>
      </c>
      <c r="F790" s="7" t="str">
        <f t="shared" si="39"/>
        <v>27</v>
      </c>
      <c r="G790" s="7" t="str">
        <f>"07"</f>
        <v>07</v>
      </c>
      <c r="H790" s="7" t="s">
        <v>13</v>
      </c>
      <c r="I790" s="7">
        <v>57.3</v>
      </c>
      <c r="J790" s="9"/>
    </row>
    <row r="791" ht="14.25" spans="1:10">
      <c r="A791" s="7" t="s">
        <v>759</v>
      </c>
      <c r="B791" s="7" t="s">
        <v>804</v>
      </c>
      <c r="C791" s="7" t="str">
        <f t="shared" si="38"/>
        <v>男</v>
      </c>
      <c r="D791" s="7" t="str">
        <f>"360782199107243834"</f>
        <v>360782199107243834</v>
      </c>
      <c r="E791" s="8" t="str">
        <f>"10960182708"</f>
        <v>10960182708</v>
      </c>
      <c r="F791" s="7" t="str">
        <f t="shared" si="39"/>
        <v>27</v>
      </c>
      <c r="G791" s="7" t="str">
        <f>"08"</f>
        <v>08</v>
      </c>
      <c r="H791" s="7" t="s">
        <v>13</v>
      </c>
      <c r="I791" s="7" t="s">
        <v>14</v>
      </c>
      <c r="J791" s="9"/>
    </row>
    <row r="792" ht="14.25" spans="1:10">
      <c r="A792" s="7" t="s">
        <v>759</v>
      </c>
      <c r="B792" s="7" t="s">
        <v>805</v>
      </c>
      <c r="C792" s="7" t="str">
        <f t="shared" si="38"/>
        <v>男</v>
      </c>
      <c r="D792" s="7" t="str">
        <f>"654028199111030790"</f>
        <v>654028199111030790</v>
      </c>
      <c r="E792" s="8" t="str">
        <f>"10960182709"</f>
        <v>10960182709</v>
      </c>
      <c r="F792" s="7" t="str">
        <f t="shared" si="39"/>
        <v>27</v>
      </c>
      <c r="G792" s="7" t="str">
        <f>"09"</f>
        <v>09</v>
      </c>
      <c r="H792" s="7" t="s">
        <v>13</v>
      </c>
      <c r="I792" s="7" t="s">
        <v>14</v>
      </c>
      <c r="J792" s="9"/>
    </row>
    <row r="793" ht="14.25" spans="1:10">
      <c r="A793" s="7" t="s">
        <v>759</v>
      </c>
      <c r="B793" s="7" t="s">
        <v>806</v>
      </c>
      <c r="C793" s="7" t="str">
        <f t="shared" si="38"/>
        <v>男</v>
      </c>
      <c r="D793" s="7" t="str">
        <f>"411321199511162914"</f>
        <v>411321199511162914</v>
      </c>
      <c r="E793" s="8" t="str">
        <f>"10960182710"</f>
        <v>10960182710</v>
      </c>
      <c r="F793" s="7" t="str">
        <f t="shared" si="39"/>
        <v>27</v>
      </c>
      <c r="G793" s="7" t="str">
        <f>"10"</f>
        <v>10</v>
      </c>
      <c r="H793" s="7" t="s">
        <v>13</v>
      </c>
      <c r="I793" s="7" t="s">
        <v>14</v>
      </c>
      <c r="J793" s="9"/>
    </row>
    <row r="794" ht="14.25" spans="1:10">
      <c r="A794" s="7" t="s">
        <v>759</v>
      </c>
      <c r="B794" s="7" t="s">
        <v>807</v>
      </c>
      <c r="C794" s="7" t="str">
        <f t="shared" si="38"/>
        <v>女</v>
      </c>
      <c r="D794" s="7" t="str">
        <f>"411325199705200048"</f>
        <v>411325199705200048</v>
      </c>
      <c r="E794" s="8" t="str">
        <f>"10960182711"</f>
        <v>10960182711</v>
      </c>
      <c r="F794" s="7" t="str">
        <f t="shared" si="39"/>
        <v>27</v>
      </c>
      <c r="G794" s="7" t="str">
        <f>"11"</f>
        <v>11</v>
      </c>
      <c r="H794" s="7" t="s">
        <v>13</v>
      </c>
      <c r="I794" s="7">
        <v>67</v>
      </c>
      <c r="J794" s="9"/>
    </row>
    <row r="795" ht="14.25" spans="1:10">
      <c r="A795" s="7" t="s">
        <v>759</v>
      </c>
      <c r="B795" s="7" t="s">
        <v>808</v>
      </c>
      <c r="C795" s="7" t="str">
        <f t="shared" si="38"/>
        <v>男</v>
      </c>
      <c r="D795" s="7" t="str">
        <f>"411325199003302912"</f>
        <v>411325199003302912</v>
      </c>
      <c r="E795" s="8" t="str">
        <f>"10960182712"</f>
        <v>10960182712</v>
      </c>
      <c r="F795" s="7" t="str">
        <f t="shared" si="39"/>
        <v>27</v>
      </c>
      <c r="G795" s="7" t="str">
        <f>"12"</f>
        <v>12</v>
      </c>
      <c r="H795" s="7" t="s">
        <v>13</v>
      </c>
      <c r="I795" s="7">
        <v>64.8</v>
      </c>
      <c r="J795" s="9"/>
    </row>
    <row r="796" ht="14.25" spans="1:10">
      <c r="A796" s="7" t="s">
        <v>759</v>
      </c>
      <c r="B796" s="7" t="s">
        <v>809</v>
      </c>
      <c r="C796" s="7" t="str">
        <f t="shared" si="38"/>
        <v>女</v>
      </c>
      <c r="D796" s="7" t="str">
        <f>"370785199002062325"</f>
        <v>370785199002062325</v>
      </c>
      <c r="E796" s="8" t="str">
        <f>"10960182713"</f>
        <v>10960182713</v>
      </c>
      <c r="F796" s="7" t="str">
        <f t="shared" si="39"/>
        <v>27</v>
      </c>
      <c r="G796" s="7" t="str">
        <f>"13"</f>
        <v>13</v>
      </c>
      <c r="H796" s="7" t="s">
        <v>45</v>
      </c>
      <c r="I796" s="7" t="s">
        <v>14</v>
      </c>
      <c r="J796" s="9"/>
    </row>
    <row r="797" ht="14.25" spans="1:10">
      <c r="A797" s="7" t="s">
        <v>759</v>
      </c>
      <c r="B797" s="7" t="s">
        <v>810</v>
      </c>
      <c r="C797" s="7" t="str">
        <f t="shared" si="38"/>
        <v>男</v>
      </c>
      <c r="D797" s="7" t="str">
        <f>"411328199307050039"</f>
        <v>411328199307050039</v>
      </c>
      <c r="E797" s="8" t="str">
        <f>"10960182714"</f>
        <v>10960182714</v>
      </c>
      <c r="F797" s="7" t="str">
        <f t="shared" si="39"/>
        <v>27</v>
      </c>
      <c r="G797" s="7" t="str">
        <f>"14"</f>
        <v>14</v>
      </c>
      <c r="H797" s="7" t="s">
        <v>45</v>
      </c>
      <c r="I797" s="7">
        <v>64</v>
      </c>
      <c r="J797" s="9"/>
    </row>
    <row r="798" ht="14.25" spans="1:10">
      <c r="A798" s="7" t="s">
        <v>759</v>
      </c>
      <c r="B798" s="7" t="s">
        <v>811</v>
      </c>
      <c r="C798" s="7" t="str">
        <f t="shared" si="38"/>
        <v>女</v>
      </c>
      <c r="D798" s="7" t="str">
        <f>"41282919910223682X"</f>
        <v>41282919910223682X</v>
      </c>
      <c r="E798" s="8" t="str">
        <f>"10960182715"</f>
        <v>10960182715</v>
      </c>
      <c r="F798" s="7" t="str">
        <f t="shared" si="39"/>
        <v>27</v>
      </c>
      <c r="G798" s="7" t="str">
        <f>"15"</f>
        <v>15</v>
      </c>
      <c r="H798" s="7" t="s">
        <v>45</v>
      </c>
      <c r="I798" s="7" t="s">
        <v>14</v>
      </c>
      <c r="J798" s="9"/>
    </row>
    <row r="799" ht="14.25" spans="1:10">
      <c r="A799" s="7" t="s">
        <v>759</v>
      </c>
      <c r="B799" s="7" t="s">
        <v>812</v>
      </c>
      <c r="C799" s="7" t="str">
        <f t="shared" si="38"/>
        <v>女</v>
      </c>
      <c r="D799" s="7" t="str">
        <f>"411302199703023127"</f>
        <v>411302199703023127</v>
      </c>
      <c r="E799" s="8" t="str">
        <f>"10960182716"</f>
        <v>10960182716</v>
      </c>
      <c r="F799" s="7" t="str">
        <f t="shared" si="39"/>
        <v>27</v>
      </c>
      <c r="G799" s="7" t="str">
        <f>"16"</f>
        <v>16</v>
      </c>
      <c r="H799" s="7" t="s">
        <v>45</v>
      </c>
      <c r="I799" s="7" t="s">
        <v>14</v>
      </c>
      <c r="J799" s="9"/>
    </row>
    <row r="800" ht="14.25" spans="1:10">
      <c r="A800" s="7" t="s">
        <v>759</v>
      </c>
      <c r="B800" s="7" t="s">
        <v>813</v>
      </c>
      <c r="C800" s="7" t="str">
        <f t="shared" si="38"/>
        <v>男</v>
      </c>
      <c r="D800" s="7" t="str">
        <f>"41132119961012231X"</f>
        <v>41132119961012231X</v>
      </c>
      <c r="E800" s="8" t="str">
        <f>"10960182717"</f>
        <v>10960182717</v>
      </c>
      <c r="F800" s="7" t="str">
        <f t="shared" si="39"/>
        <v>27</v>
      </c>
      <c r="G800" s="7" t="str">
        <f>"17"</f>
        <v>17</v>
      </c>
      <c r="H800" s="7" t="s">
        <v>45</v>
      </c>
      <c r="I800" s="7">
        <v>66.9</v>
      </c>
      <c r="J800" s="9"/>
    </row>
    <row r="801" ht="14.25" spans="1:10">
      <c r="A801" s="7" t="s">
        <v>759</v>
      </c>
      <c r="B801" s="7" t="s">
        <v>814</v>
      </c>
      <c r="C801" s="7" t="str">
        <f t="shared" si="38"/>
        <v>女</v>
      </c>
      <c r="D801" s="7" t="str">
        <f>"410822199403258962"</f>
        <v>410822199403258962</v>
      </c>
      <c r="E801" s="8" t="str">
        <f>"10960182718"</f>
        <v>10960182718</v>
      </c>
      <c r="F801" s="7" t="str">
        <f t="shared" si="39"/>
        <v>27</v>
      </c>
      <c r="G801" s="7" t="str">
        <f>"18"</f>
        <v>18</v>
      </c>
      <c r="H801" s="7" t="s">
        <v>45</v>
      </c>
      <c r="I801" s="7" t="s">
        <v>14</v>
      </c>
      <c r="J801" s="9"/>
    </row>
    <row r="802" ht="14.25" spans="1:10">
      <c r="A802" s="7" t="s">
        <v>759</v>
      </c>
      <c r="B802" s="7" t="s">
        <v>815</v>
      </c>
      <c r="C802" s="7" t="str">
        <f t="shared" si="38"/>
        <v>女</v>
      </c>
      <c r="D802" s="7" t="str">
        <f>"411322199803202427"</f>
        <v>411322199803202427</v>
      </c>
      <c r="E802" s="8" t="str">
        <f>"10960182719"</f>
        <v>10960182719</v>
      </c>
      <c r="F802" s="7" t="str">
        <f t="shared" si="39"/>
        <v>27</v>
      </c>
      <c r="G802" s="7" t="str">
        <f>"19"</f>
        <v>19</v>
      </c>
      <c r="H802" s="7" t="s">
        <v>45</v>
      </c>
      <c r="I802" s="7" t="s">
        <v>14</v>
      </c>
      <c r="J802" s="9"/>
    </row>
    <row r="803" ht="14.25" spans="1:10">
      <c r="A803" s="7" t="s">
        <v>759</v>
      </c>
      <c r="B803" s="7" t="s">
        <v>816</v>
      </c>
      <c r="C803" s="7" t="str">
        <f t="shared" si="38"/>
        <v>男</v>
      </c>
      <c r="D803" s="7" t="str">
        <f>"230621199711081256"</f>
        <v>230621199711081256</v>
      </c>
      <c r="E803" s="8" t="str">
        <f>"10960182720"</f>
        <v>10960182720</v>
      </c>
      <c r="F803" s="7" t="str">
        <f t="shared" si="39"/>
        <v>27</v>
      </c>
      <c r="G803" s="7" t="str">
        <f>"20"</f>
        <v>20</v>
      </c>
      <c r="H803" s="7" t="s">
        <v>45</v>
      </c>
      <c r="I803" s="7" t="s">
        <v>14</v>
      </c>
      <c r="J803" s="9"/>
    </row>
    <row r="804" ht="14.25" spans="1:10">
      <c r="A804" s="7" t="s">
        <v>759</v>
      </c>
      <c r="B804" s="7" t="s">
        <v>817</v>
      </c>
      <c r="C804" s="7" t="str">
        <f t="shared" si="38"/>
        <v>男</v>
      </c>
      <c r="D804" s="7" t="str">
        <f>"411325199704216515"</f>
        <v>411325199704216515</v>
      </c>
      <c r="E804" s="8" t="str">
        <f>"10960182721"</f>
        <v>10960182721</v>
      </c>
      <c r="F804" s="7" t="str">
        <f t="shared" si="39"/>
        <v>27</v>
      </c>
      <c r="G804" s="7" t="str">
        <f>"21"</f>
        <v>21</v>
      </c>
      <c r="H804" s="7" t="s">
        <v>45</v>
      </c>
      <c r="I804" s="7">
        <v>69.4</v>
      </c>
      <c r="J804" s="9"/>
    </row>
    <row r="805" ht="14.25" spans="1:10">
      <c r="A805" s="7" t="s">
        <v>759</v>
      </c>
      <c r="B805" s="7" t="s">
        <v>818</v>
      </c>
      <c r="C805" s="7" t="str">
        <f t="shared" si="38"/>
        <v>男</v>
      </c>
      <c r="D805" s="7" t="str">
        <f>"411324199508234832"</f>
        <v>411324199508234832</v>
      </c>
      <c r="E805" s="8" t="str">
        <f>"10960182722"</f>
        <v>10960182722</v>
      </c>
      <c r="F805" s="7" t="str">
        <f t="shared" si="39"/>
        <v>27</v>
      </c>
      <c r="G805" s="7" t="str">
        <f>"22"</f>
        <v>22</v>
      </c>
      <c r="H805" s="7" t="s">
        <v>45</v>
      </c>
      <c r="I805" s="7">
        <v>57.6</v>
      </c>
      <c r="J805" s="9"/>
    </row>
    <row r="806" ht="14.25" spans="1:10">
      <c r="A806" s="7" t="s">
        <v>759</v>
      </c>
      <c r="B806" s="7" t="s">
        <v>819</v>
      </c>
      <c r="C806" s="7" t="str">
        <f t="shared" si="38"/>
        <v>男</v>
      </c>
      <c r="D806" s="7" t="str">
        <f>"41048119900329601X"</f>
        <v>41048119900329601X</v>
      </c>
      <c r="E806" s="8" t="str">
        <f>"10960182723"</f>
        <v>10960182723</v>
      </c>
      <c r="F806" s="7" t="str">
        <f t="shared" si="39"/>
        <v>27</v>
      </c>
      <c r="G806" s="7" t="str">
        <f>"23"</f>
        <v>23</v>
      </c>
      <c r="H806" s="7" t="s">
        <v>45</v>
      </c>
      <c r="I806" s="7">
        <v>76.1</v>
      </c>
      <c r="J806" s="9"/>
    </row>
    <row r="807" ht="14.25" spans="1:10">
      <c r="A807" s="7" t="s">
        <v>759</v>
      </c>
      <c r="B807" s="7" t="s">
        <v>820</v>
      </c>
      <c r="C807" s="7" t="str">
        <f t="shared" si="38"/>
        <v>女</v>
      </c>
      <c r="D807" s="7" t="str">
        <f>"411325199510185546"</f>
        <v>411325199510185546</v>
      </c>
      <c r="E807" s="8" t="str">
        <f>"10960182724"</f>
        <v>10960182724</v>
      </c>
      <c r="F807" s="7" t="str">
        <f t="shared" si="39"/>
        <v>27</v>
      </c>
      <c r="G807" s="7" t="str">
        <f>"24"</f>
        <v>24</v>
      </c>
      <c r="H807" s="7" t="s">
        <v>45</v>
      </c>
      <c r="I807" s="7" t="s">
        <v>14</v>
      </c>
      <c r="J807" s="9"/>
    </row>
    <row r="808" ht="14.25" spans="1:10">
      <c r="A808" s="7" t="s">
        <v>759</v>
      </c>
      <c r="B808" s="7" t="s">
        <v>821</v>
      </c>
      <c r="C808" s="7" t="str">
        <f t="shared" si="38"/>
        <v>女</v>
      </c>
      <c r="D808" s="7" t="str">
        <f>"411330199605034821"</f>
        <v>411330199605034821</v>
      </c>
      <c r="E808" s="8" t="str">
        <f>"10960182725"</f>
        <v>10960182725</v>
      </c>
      <c r="F808" s="7" t="str">
        <f t="shared" si="39"/>
        <v>27</v>
      </c>
      <c r="G808" s="7" t="str">
        <f>"25"</f>
        <v>25</v>
      </c>
      <c r="H808" s="7" t="s">
        <v>45</v>
      </c>
      <c r="I808" s="7" t="s">
        <v>14</v>
      </c>
      <c r="J808" s="9"/>
    </row>
    <row r="809" ht="14.25" spans="1:10">
      <c r="A809" s="7" t="s">
        <v>759</v>
      </c>
      <c r="B809" s="7" t="s">
        <v>822</v>
      </c>
      <c r="C809" s="7" t="str">
        <f t="shared" si="38"/>
        <v>女</v>
      </c>
      <c r="D809" s="7" t="str">
        <f>"411323199508275822"</f>
        <v>411323199508275822</v>
      </c>
      <c r="E809" s="8" t="str">
        <f>"10960182726"</f>
        <v>10960182726</v>
      </c>
      <c r="F809" s="7" t="str">
        <f t="shared" si="39"/>
        <v>27</v>
      </c>
      <c r="G809" s="7" t="str">
        <f>"26"</f>
        <v>26</v>
      </c>
      <c r="H809" s="7" t="s">
        <v>45</v>
      </c>
      <c r="I809" s="7">
        <v>75.5</v>
      </c>
      <c r="J809" s="9"/>
    </row>
    <row r="810" ht="14.25" spans="1:10">
      <c r="A810" s="7" t="s">
        <v>759</v>
      </c>
      <c r="B810" s="7" t="s">
        <v>823</v>
      </c>
      <c r="C810" s="7" t="str">
        <f t="shared" si="38"/>
        <v>男</v>
      </c>
      <c r="D810" s="7" t="str">
        <f>"411325199002196070"</f>
        <v>411325199002196070</v>
      </c>
      <c r="E810" s="8" t="str">
        <f>"10960182727"</f>
        <v>10960182727</v>
      </c>
      <c r="F810" s="7" t="str">
        <f t="shared" si="39"/>
        <v>27</v>
      </c>
      <c r="G810" s="7" t="str">
        <f>"27"</f>
        <v>27</v>
      </c>
      <c r="H810" s="7" t="s">
        <v>45</v>
      </c>
      <c r="I810" s="7" t="s">
        <v>14</v>
      </c>
      <c r="J810" s="9"/>
    </row>
    <row r="811" ht="14.25" spans="1:10">
      <c r="A811" s="7" t="s">
        <v>759</v>
      </c>
      <c r="B811" s="7" t="s">
        <v>824</v>
      </c>
      <c r="C811" s="7" t="str">
        <f t="shared" si="38"/>
        <v>男</v>
      </c>
      <c r="D811" s="7" t="str">
        <f>"411329199905053818"</f>
        <v>411329199905053818</v>
      </c>
      <c r="E811" s="8" t="str">
        <f>"10960182728"</f>
        <v>10960182728</v>
      </c>
      <c r="F811" s="7" t="str">
        <f t="shared" si="39"/>
        <v>27</v>
      </c>
      <c r="G811" s="7" t="str">
        <f>"28"</f>
        <v>28</v>
      </c>
      <c r="H811" s="7" t="s">
        <v>45</v>
      </c>
      <c r="I811" s="7">
        <v>70.4</v>
      </c>
      <c r="J811" s="9"/>
    </row>
    <row r="812" ht="14.25" spans="1:10">
      <c r="A812" s="7" t="s">
        <v>759</v>
      </c>
      <c r="B812" s="7" t="s">
        <v>825</v>
      </c>
      <c r="C812" s="7" t="str">
        <f t="shared" si="38"/>
        <v>女</v>
      </c>
      <c r="D812" s="7" t="str">
        <f>"411325199712134544"</f>
        <v>411325199712134544</v>
      </c>
      <c r="E812" s="8" t="str">
        <f>"10960182729"</f>
        <v>10960182729</v>
      </c>
      <c r="F812" s="7" t="str">
        <f t="shared" si="39"/>
        <v>27</v>
      </c>
      <c r="G812" s="7" t="str">
        <f>"29"</f>
        <v>29</v>
      </c>
      <c r="H812" s="7" t="s">
        <v>45</v>
      </c>
      <c r="I812" s="7">
        <v>69</v>
      </c>
      <c r="J812" s="9"/>
    </row>
    <row r="813" ht="14.25" spans="1:10">
      <c r="A813" s="7" t="s">
        <v>759</v>
      </c>
      <c r="B813" s="7" t="s">
        <v>826</v>
      </c>
      <c r="C813" s="7" t="str">
        <f t="shared" si="38"/>
        <v>女</v>
      </c>
      <c r="D813" s="7" t="str">
        <f>"411325199101027889"</f>
        <v>411325199101027889</v>
      </c>
      <c r="E813" s="8" t="str">
        <f>"10960182730"</f>
        <v>10960182730</v>
      </c>
      <c r="F813" s="7" t="str">
        <f t="shared" si="39"/>
        <v>27</v>
      </c>
      <c r="G813" s="7" t="str">
        <f>"30"</f>
        <v>30</v>
      </c>
      <c r="H813" s="7" t="s">
        <v>45</v>
      </c>
      <c r="I813" s="7" t="s">
        <v>14</v>
      </c>
      <c r="J813" s="9"/>
    </row>
    <row r="814" ht="14.25" spans="1:10">
      <c r="A814" s="7" t="s">
        <v>759</v>
      </c>
      <c r="B814" s="7" t="s">
        <v>827</v>
      </c>
      <c r="C814" s="7" t="str">
        <f t="shared" si="38"/>
        <v>男</v>
      </c>
      <c r="D814" s="7" t="str">
        <f>"411325199403131913"</f>
        <v>411325199403131913</v>
      </c>
      <c r="E814" s="8" t="str">
        <f>"10960182801"</f>
        <v>10960182801</v>
      </c>
      <c r="F814" s="7" t="str">
        <f t="shared" ref="F814:F843" si="40">"28"</f>
        <v>28</v>
      </c>
      <c r="G814" s="7" t="str">
        <f>"01"</f>
        <v>01</v>
      </c>
      <c r="H814" s="7" t="s">
        <v>45</v>
      </c>
      <c r="I814" s="7" t="s">
        <v>14</v>
      </c>
      <c r="J814" s="9"/>
    </row>
    <row r="815" ht="14.25" spans="1:10">
      <c r="A815" s="7" t="s">
        <v>759</v>
      </c>
      <c r="B815" s="7" t="s">
        <v>828</v>
      </c>
      <c r="C815" s="7" t="str">
        <f t="shared" si="38"/>
        <v>男</v>
      </c>
      <c r="D815" s="7" t="str">
        <f>"370828199403280014"</f>
        <v>370828199403280014</v>
      </c>
      <c r="E815" s="8" t="str">
        <f>"10960182802"</f>
        <v>10960182802</v>
      </c>
      <c r="F815" s="7" t="str">
        <f t="shared" si="40"/>
        <v>28</v>
      </c>
      <c r="G815" s="7" t="str">
        <f>"02"</f>
        <v>02</v>
      </c>
      <c r="H815" s="7" t="s">
        <v>45</v>
      </c>
      <c r="I815" s="7" t="s">
        <v>14</v>
      </c>
      <c r="J815" s="9"/>
    </row>
    <row r="816" ht="14.25" spans="1:10">
      <c r="A816" s="7" t="s">
        <v>759</v>
      </c>
      <c r="B816" s="7" t="s">
        <v>829</v>
      </c>
      <c r="C816" s="7" t="str">
        <f t="shared" si="38"/>
        <v>女</v>
      </c>
      <c r="D816" s="7" t="str">
        <f>"411329199506163825"</f>
        <v>411329199506163825</v>
      </c>
      <c r="E816" s="8" t="str">
        <f>"10960182803"</f>
        <v>10960182803</v>
      </c>
      <c r="F816" s="7" t="str">
        <f t="shared" si="40"/>
        <v>28</v>
      </c>
      <c r="G816" s="7" t="str">
        <f>"03"</f>
        <v>03</v>
      </c>
      <c r="H816" s="7" t="s">
        <v>45</v>
      </c>
      <c r="I816" s="7" t="s">
        <v>14</v>
      </c>
      <c r="J816" s="9"/>
    </row>
    <row r="817" ht="14.25" spans="1:10">
      <c r="A817" s="7" t="s">
        <v>759</v>
      </c>
      <c r="B817" s="7" t="s">
        <v>830</v>
      </c>
      <c r="C817" s="7" t="str">
        <f t="shared" si="38"/>
        <v>女</v>
      </c>
      <c r="D817" s="7" t="str">
        <f>"411325199111298244"</f>
        <v>411325199111298244</v>
      </c>
      <c r="E817" s="8" t="str">
        <f>"10960182804"</f>
        <v>10960182804</v>
      </c>
      <c r="F817" s="7" t="str">
        <f t="shared" si="40"/>
        <v>28</v>
      </c>
      <c r="G817" s="7" t="str">
        <f>"04"</f>
        <v>04</v>
      </c>
      <c r="H817" s="7" t="s">
        <v>45</v>
      </c>
      <c r="I817" s="7" t="s">
        <v>14</v>
      </c>
      <c r="J817" s="9"/>
    </row>
    <row r="818" ht="14.25" spans="1:10">
      <c r="A818" s="7" t="s">
        <v>759</v>
      </c>
      <c r="B818" s="7" t="s">
        <v>831</v>
      </c>
      <c r="C818" s="7" t="str">
        <f t="shared" si="38"/>
        <v>男</v>
      </c>
      <c r="D818" s="7" t="str">
        <f>"411302199402110016"</f>
        <v>411302199402110016</v>
      </c>
      <c r="E818" s="8" t="str">
        <f>"10960182805"</f>
        <v>10960182805</v>
      </c>
      <c r="F818" s="7" t="str">
        <f t="shared" si="40"/>
        <v>28</v>
      </c>
      <c r="G818" s="7" t="str">
        <f>"05"</f>
        <v>05</v>
      </c>
      <c r="H818" s="7" t="s">
        <v>45</v>
      </c>
      <c r="I818" s="7">
        <v>63.6</v>
      </c>
      <c r="J818" s="9"/>
    </row>
    <row r="819" ht="14.25" spans="1:10">
      <c r="A819" s="7" t="s">
        <v>759</v>
      </c>
      <c r="B819" s="7" t="s">
        <v>832</v>
      </c>
      <c r="C819" s="7" t="str">
        <f t="shared" si="38"/>
        <v>男</v>
      </c>
      <c r="D819" s="7" t="str">
        <f>"411322199409155319"</f>
        <v>411322199409155319</v>
      </c>
      <c r="E819" s="8" t="str">
        <f>"10960182806"</f>
        <v>10960182806</v>
      </c>
      <c r="F819" s="7" t="str">
        <f t="shared" si="40"/>
        <v>28</v>
      </c>
      <c r="G819" s="7" t="str">
        <f>"06"</f>
        <v>06</v>
      </c>
      <c r="H819" s="7" t="s">
        <v>45</v>
      </c>
      <c r="I819" s="7" t="s">
        <v>14</v>
      </c>
      <c r="J819" s="9"/>
    </row>
    <row r="820" ht="14.25" spans="1:10">
      <c r="A820" s="7" t="s">
        <v>759</v>
      </c>
      <c r="B820" s="7" t="s">
        <v>833</v>
      </c>
      <c r="C820" s="7" t="str">
        <f t="shared" si="38"/>
        <v>男</v>
      </c>
      <c r="D820" s="7" t="str">
        <f>"411303199311110017"</f>
        <v>411303199311110017</v>
      </c>
      <c r="E820" s="8" t="str">
        <f>"10960182807"</f>
        <v>10960182807</v>
      </c>
      <c r="F820" s="7" t="str">
        <f t="shared" si="40"/>
        <v>28</v>
      </c>
      <c r="G820" s="7" t="str">
        <f>"07"</f>
        <v>07</v>
      </c>
      <c r="H820" s="7" t="s">
        <v>45</v>
      </c>
      <c r="I820" s="7">
        <v>45.2</v>
      </c>
      <c r="J820" s="9"/>
    </row>
    <row r="821" ht="14.25" spans="1:10">
      <c r="A821" s="7" t="s">
        <v>759</v>
      </c>
      <c r="B821" s="7" t="s">
        <v>834</v>
      </c>
      <c r="C821" s="7" t="str">
        <f t="shared" si="38"/>
        <v>男</v>
      </c>
      <c r="D821" s="7" t="str">
        <f>"41272219931207155X"</f>
        <v>41272219931207155X</v>
      </c>
      <c r="E821" s="8" t="str">
        <f>"10960182808"</f>
        <v>10960182808</v>
      </c>
      <c r="F821" s="7" t="str">
        <f t="shared" si="40"/>
        <v>28</v>
      </c>
      <c r="G821" s="7" t="str">
        <f>"08"</f>
        <v>08</v>
      </c>
      <c r="H821" s="7" t="s">
        <v>45</v>
      </c>
      <c r="I821" s="7" t="s">
        <v>14</v>
      </c>
      <c r="J821" s="9"/>
    </row>
    <row r="822" ht="14.25" spans="1:10">
      <c r="A822" s="7" t="s">
        <v>759</v>
      </c>
      <c r="B822" s="7" t="s">
        <v>835</v>
      </c>
      <c r="C822" s="7" t="str">
        <f t="shared" si="38"/>
        <v>女</v>
      </c>
      <c r="D822" s="7" t="str">
        <f>"411325199012160725"</f>
        <v>411325199012160725</v>
      </c>
      <c r="E822" s="8" t="str">
        <f>"10960182809"</f>
        <v>10960182809</v>
      </c>
      <c r="F822" s="7" t="str">
        <f t="shared" si="40"/>
        <v>28</v>
      </c>
      <c r="G822" s="7" t="str">
        <f>"09"</f>
        <v>09</v>
      </c>
      <c r="H822" s="7" t="s">
        <v>45</v>
      </c>
      <c r="I822" s="7" t="s">
        <v>14</v>
      </c>
      <c r="J822" s="9"/>
    </row>
    <row r="823" ht="14.25" spans="1:10">
      <c r="A823" s="7" t="s">
        <v>759</v>
      </c>
      <c r="B823" s="7" t="s">
        <v>836</v>
      </c>
      <c r="C823" s="7" t="str">
        <f t="shared" si="38"/>
        <v>女</v>
      </c>
      <c r="D823" s="7" t="str">
        <f>"410183199308033866"</f>
        <v>410183199308033866</v>
      </c>
      <c r="E823" s="8" t="str">
        <f>"10960182810"</f>
        <v>10960182810</v>
      </c>
      <c r="F823" s="7" t="str">
        <f t="shared" si="40"/>
        <v>28</v>
      </c>
      <c r="G823" s="7" t="str">
        <f>"10"</f>
        <v>10</v>
      </c>
      <c r="H823" s="7" t="s">
        <v>45</v>
      </c>
      <c r="I823" s="7" t="s">
        <v>14</v>
      </c>
      <c r="J823" s="9"/>
    </row>
    <row r="824" ht="14.25" spans="1:10">
      <c r="A824" s="7" t="s">
        <v>759</v>
      </c>
      <c r="B824" s="7" t="s">
        <v>837</v>
      </c>
      <c r="C824" s="7" t="str">
        <f t="shared" si="38"/>
        <v>男</v>
      </c>
      <c r="D824" s="7" t="str">
        <f>"411329199606240015"</f>
        <v>411329199606240015</v>
      </c>
      <c r="E824" s="8" t="str">
        <f>"10960182811"</f>
        <v>10960182811</v>
      </c>
      <c r="F824" s="7" t="str">
        <f t="shared" si="40"/>
        <v>28</v>
      </c>
      <c r="G824" s="7" t="str">
        <f>"11"</f>
        <v>11</v>
      </c>
      <c r="H824" s="7" t="s">
        <v>45</v>
      </c>
      <c r="I824" s="7" t="s">
        <v>14</v>
      </c>
      <c r="J824" s="9"/>
    </row>
    <row r="825" ht="14.25" spans="1:10">
      <c r="A825" s="7" t="s">
        <v>759</v>
      </c>
      <c r="B825" s="7" t="s">
        <v>838</v>
      </c>
      <c r="C825" s="7" t="str">
        <f t="shared" si="38"/>
        <v>女</v>
      </c>
      <c r="D825" s="7" t="str">
        <f>"411329199012201940"</f>
        <v>411329199012201940</v>
      </c>
      <c r="E825" s="8" t="str">
        <f>"10960182812"</f>
        <v>10960182812</v>
      </c>
      <c r="F825" s="7" t="str">
        <f t="shared" si="40"/>
        <v>28</v>
      </c>
      <c r="G825" s="7" t="str">
        <f>"12"</f>
        <v>12</v>
      </c>
      <c r="H825" s="7" t="s">
        <v>45</v>
      </c>
      <c r="I825" s="7">
        <v>67.1</v>
      </c>
      <c r="J825" s="9"/>
    </row>
    <row r="826" ht="14.25" spans="1:10">
      <c r="A826" s="7" t="s">
        <v>759</v>
      </c>
      <c r="B826" s="7" t="s">
        <v>839</v>
      </c>
      <c r="C826" s="7" t="str">
        <f t="shared" si="38"/>
        <v>女</v>
      </c>
      <c r="D826" s="7" t="str">
        <f>"411325199602191927"</f>
        <v>411325199602191927</v>
      </c>
      <c r="E826" s="8" t="str">
        <f>"10960182813"</f>
        <v>10960182813</v>
      </c>
      <c r="F826" s="7" t="str">
        <f t="shared" si="40"/>
        <v>28</v>
      </c>
      <c r="G826" s="7" t="str">
        <f>"13"</f>
        <v>13</v>
      </c>
      <c r="H826" s="7" t="s">
        <v>45</v>
      </c>
      <c r="I826" s="7" t="s">
        <v>14</v>
      </c>
      <c r="J826" s="9"/>
    </row>
    <row r="827" ht="14.25" spans="1:10">
      <c r="A827" s="7" t="s">
        <v>759</v>
      </c>
      <c r="B827" s="7" t="s">
        <v>840</v>
      </c>
      <c r="C827" s="7" t="str">
        <f t="shared" si="38"/>
        <v>男</v>
      </c>
      <c r="D827" s="7" t="str">
        <f>"411323199611023033"</f>
        <v>411323199611023033</v>
      </c>
      <c r="E827" s="8" t="str">
        <f>"10960182814"</f>
        <v>10960182814</v>
      </c>
      <c r="F827" s="7" t="str">
        <f t="shared" si="40"/>
        <v>28</v>
      </c>
      <c r="G827" s="7" t="str">
        <f>"14"</f>
        <v>14</v>
      </c>
      <c r="H827" s="7" t="s">
        <v>45</v>
      </c>
      <c r="I827" s="7" t="s">
        <v>14</v>
      </c>
      <c r="J827" s="9"/>
    </row>
    <row r="828" ht="14.25" spans="1:10">
      <c r="A828" s="7" t="s">
        <v>759</v>
      </c>
      <c r="B828" s="7" t="s">
        <v>841</v>
      </c>
      <c r="C828" s="7" t="str">
        <f t="shared" si="38"/>
        <v>女</v>
      </c>
      <c r="D828" s="7" t="str">
        <f>"411302199210104826"</f>
        <v>411302199210104826</v>
      </c>
      <c r="E828" s="8" t="str">
        <f>"10960182815"</f>
        <v>10960182815</v>
      </c>
      <c r="F828" s="7" t="str">
        <f t="shared" si="40"/>
        <v>28</v>
      </c>
      <c r="G828" s="7" t="str">
        <f>"15"</f>
        <v>15</v>
      </c>
      <c r="H828" s="7" t="s">
        <v>45</v>
      </c>
      <c r="I828" s="7">
        <v>60.9</v>
      </c>
      <c r="J828" s="9"/>
    </row>
    <row r="829" ht="14.25" spans="1:10">
      <c r="A829" s="7" t="s">
        <v>759</v>
      </c>
      <c r="B829" s="7" t="s">
        <v>842</v>
      </c>
      <c r="C829" s="7" t="str">
        <f t="shared" si="38"/>
        <v>男</v>
      </c>
      <c r="D829" s="7" t="str">
        <f>"411324199702150931"</f>
        <v>411324199702150931</v>
      </c>
      <c r="E829" s="8" t="str">
        <f>"10960182816"</f>
        <v>10960182816</v>
      </c>
      <c r="F829" s="7" t="str">
        <f t="shared" si="40"/>
        <v>28</v>
      </c>
      <c r="G829" s="7" t="str">
        <f>"16"</f>
        <v>16</v>
      </c>
      <c r="H829" s="7" t="s">
        <v>45</v>
      </c>
      <c r="I829" s="7">
        <v>72.4</v>
      </c>
      <c r="J829" s="9"/>
    </row>
    <row r="830" ht="14.25" spans="1:10">
      <c r="A830" s="7" t="s">
        <v>759</v>
      </c>
      <c r="B830" s="7" t="s">
        <v>843</v>
      </c>
      <c r="C830" s="7" t="str">
        <f t="shared" si="38"/>
        <v>男</v>
      </c>
      <c r="D830" s="7" t="str">
        <f>"411023199506263012"</f>
        <v>411023199506263012</v>
      </c>
      <c r="E830" s="8" t="str">
        <f>"10960182817"</f>
        <v>10960182817</v>
      </c>
      <c r="F830" s="7" t="str">
        <f t="shared" si="40"/>
        <v>28</v>
      </c>
      <c r="G830" s="7" t="str">
        <f>"17"</f>
        <v>17</v>
      </c>
      <c r="H830" s="7" t="s">
        <v>45</v>
      </c>
      <c r="I830" s="7" t="s">
        <v>14</v>
      </c>
      <c r="J830" s="9"/>
    </row>
    <row r="831" ht="14.25" spans="1:10">
      <c r="A831" s="7" t="s">
        <v>759</v>
      </c>
      <c r="B831" s="7" t="s">
        <v>844</v>
      </c>
      <c r="C831" s="7" t="str">
        <f t="shared" si="38"/>
        <v>女</v>
      </c>
      <c r="D831" s="7" t="str">
        <f>"412822199406062860"</f>
        <v>412822199406062860</v>
      </c>
      <c r="E831" s="8" t="str">
        <f>"10960182818"</f>
        <v>10960182818</v>
      </c>
      <c r="F831" s="7" t="str">
        <f t="shared" si="40"/>
        <v>28</v>
      </c>
      <c r="G831" s="7" t="str">
        <f>"18"</f>
        <v>18</v>
      </c>
      <c r="H831" s="7" t="s">
        <v>45</v>
      </c>
      <c r="I831" s="7" t="s">
        <v>14</v>
      </c>
      <c r="J831" s="9"/>
    </row>
    <row r="832" ht="14.25" spans="1:10">
      <c r="A832" s="7" t="s">
        <v>759</v>
      </c>
      <c r="B832" s="7" t="s">
        <v>845</v>
      </c>
      <c r="C832" s="7" t="str">
        <f t="shared" si="38"/>
        <v>男</v>
      </c>
      <c r="D832" s="7" t="str">
        <f>"411325199612040030"</f>
        <v>411325199612040030</v>
      </c>
      <c r="E832" s="8" t="str">
        <f>"10960182819"</f>
        <v>10960182819</v>
      </c>
      <c r="F832" s="7" t="str">
        <f t="shared" si="40"/>
        <v>28</v>
      </c>
      <c r="G832" s="7" t="str">
        <f>"19"</f>
        <v>19</v>
      </c>
      <c r="H832" s="7" t="s">
        <v>45</v>
      </c>
      <c r="I832" s="7">
        <v>64.5</v>
      </c>
      <c r="J832" s="9"/>
    </row>
    <row r="833" ht="14.25" spans="1:10">
      <c r="A833" s="7" t="s">
        <v>759</v>
      </c>
      <c r="B833" s="7" t="s">
        <v>846</v>
      </c>
      <c r="C833" s="7" t="str">
        <f t="shared" si="38"/>
        <v>女</v>
      </c>
      <c r="D833" s="7" t="str">
        <f>"411329199505310029"</f>
        <v>411329199505310029</v>
      </c>
      <c r="E833" s="8" t="str">
        <f>"10960182820"</f>
        <v>10960182820</v>
      </c>
      <c r="F833" s="7" t="str">
        <f t="shared" si="40"/>
        <v>28</v>
      </c>
      <c r="G833" s="7" t="str">
        <f>"20"</f>
        <v>20</v>
      </c>
      <c r="H833" s="7" t="s">
        <v>45</v>
      </c>
      <c r="I833" s="7">
        <v>65.4</v>
      </c>
      <c r="J833" s="9"/>
    </row>
    <row r="834" ht="14.25" spans="1:10">
      <c r="A834" s="7" t="s">
        <v>759</v>
      </c>
      <c r="B834" s="7" t="s">
        <v>847</v>
      </c>
      <c r="C834" s="7" t="str">
        <f t="shared" si="38"/>
        <v>男</v>
      </c>
      <c r="D834" s="7" t="str">
        <f>"612323199606026617"</f>
        <v>612323199606026617</v>
      </c>
      <c r="E834" s="8" t="str">
        <f>"10960182821"</f>
        <v>10960182821</v>
      </c>
      <c r="F834" s="7" t="str">
        <f t="shared" si="40"/>
        <v>28</v>
      </c>
      <c r="G834" s="7" t="str">
        <f>"21"</f>
        <v>21</v>
      </c>
      <c r="H834" s="7" t="s">
        <v>45</v>
      </c>
      <c r="I834" s="7" t="s">
        <v>14</v>
      </c>
      <c r="J834" s="9"/>
    </row>
    <row r="835" ht="14.25" spans="1:10">
      <c r="A835" s="7" t="s">
        <v>759</v>
      </c>
      <c r="B835" s="7" t="s">
        <v>848</v>
      </c>
      <c r="C835" s="7" t="str">
        <f t="shared" si="38"/>
        <v>男</v>
      </c>
      <c r="D835" s="7" t="str">
        <f>"411302199503131318"</f>
        <v>411302199503131318</v>
      </c>
      <c r="E835" s="8" t="str">
        <f>"10960182822"</f>
        <v>10960182822</v>
      </c>
      <c r="F835" s="7" t="str">
        <f t="shared" si="40"/>
        <v>28</v>
      </c>
      <c r="G835" s="7" t="str">
        <f>"22"</f>
        <v>22</v>
      </c>
      <c r="H835" s="7" t="s">
        <v>45</v>
      </c>
      <c r="I835" s="7" t="s">
        <v>14</v>
      </c>
      <c r="J835" s="9"/>
    </row>
    <row r="836" ht="14.25" spans="1:10">
      <c r="A836" s="7" t="s">
        <v>759</v>
      </c>
      <c r="B836" s="7" t="s">
        <v>849</v>
      </c>
      <c r="C836" s="7" t="str">
        <f t="shared" ref="C836:C899" si="41">IF(MOD(MID(D836,17,1),2),"男","女")</f>
        <v>男</v>
      </c>
      <c r="D836" s="7" t="str">
        <f>"411330199307201513"</f>
        <v>411330199307201513</v>
      </c>
      <c r="E836" s="8" t="str">
        <f>"10960182823"</f>
        <v>10960182823</v>
      </c>
      <c r="F836" s="7" t="str">
        <f t="shared" si="40"/>
        <v>28</v>
      </c>
      <c r="G836" s="7" t="str">
        <f>"23"</f>
        <v>23</v>
      </c>
      <c r="H836" s="7" t="s">
        <v>45</v>
      </c>
      <c r="I836" s="7">
        <v>71.5</v>
      </c>
      <c r="J836" s="9"/>
    </row>
    <row r="837" ht="14.25" spans="1:10">
      <c r="A837" s="7" t="s">
        <v>759</v>
      </c>
      <c r="B837" s="7" t="s">
        <v>850</v>
      </c>
      <c r="C837" s="7" t="str">
        <f t="shared" si="41"/>
        <v>女</v>
      </c>
      <c r="D837" s="7" t="str">
        <f>"41132119951009004X"</f>
        <v>41132119951009004X</v>
      </c>
      <c r="E837" s="8" t="str">
        <f>"10960182824"</f>
        <v>10960182824</v>
      </c>
      <c r="F837" s="7" t="str">
        <f t="shared" si="40"/>
        <v>28</v>
      </c>
      <c r="G837" s="7" t="str">
        <f>"24"</f>
        <v>24</v>
      </c>
      <c r="H837" s="7" t="s">
        <v>45</v>
      </c>
      <c r="I837" s="7">
        <v>69.3</v>
      </c>
      <c r="J837" s="9"/>
    </row>
    <row r="838" ht="14.25" spans="1:10">
      <c r="A838" s="7" t="s">
        <v>759</v>
      </c>
      <c r="B838" s="7" t="s">
        <v>851</v>
      </c>
      <c r="C838" s="7" t="str">
        <f t="shared" si="41"/>
        <v>男</v>
      </c>
      <c r="D838" s="7" t="str">
        <f>"411321199501181513"</f>
        <v>411321199501181513</v>
      </c>
      <c r="E838" s="8" t="str">
        <f>"10960182825"</f>
        <v>10960182825</v>
      </c>
      <c r="F838" s="7" t="str">
        <f t="shared" si="40"/>
        <v>28</v>
      </c>
      <c r="G838" s="7" t="str">
        <f>"25"</f>
        <v>25</v>
      </c>
      <c r="H838" s="7" t="s">
        <v>45</v>
      </c>
      <c r="I838" s="7">
        <v>56.3</v>
      </c>
      <c r="J838" s="9"/>
    </row>
    <row r="839" ht="14.25" spans="1:10">
      <c r="A839" s="7" t="s">
        <v>759</v>
      </c>
      <c r="B839" s="7" t="s">
        <v>852</v>
      </c>
      <c r="C839" s="7" t="str">
        <f t="shared" si="41"/>
        <v>女</v>
      </c>
      <c r="D839" s="7" t="str">
        <f>"411328199711168266"</f>
        <v>411328199711168266</v>
      </c>
      <c r="E839" s="8" t="str">
        <f>"10960182826"</f>
        <v>10960182826</v>
      </c>
      <c r="F839" s="7" t="str">
        <f t="shared" si="40"/>
        <v>28</v>
      </c>
      <c r="G839" s="7" t="str">
        <f>"26"</f>
        <v>26</v>
      </c>
      <c r="H839" s="7" t="s">
        <v>45</v>
      </c>
      <c r="I839" s="7" t="s">
        <v>14</v>
      </c>
      <c r="J839" s="9"/>
    </row>
    <row r="840" ht="14.25" spans="1:10">
      <c r="A840" s="7" t="s">
        <v>759</v>
      </c>
      <c r="B840" s="7" t="s">
        <v>853</v>
      </c>
      <c r="C840" s="7" t="str">
        <f t="shared" si="41"/>
        <v>男</v>
      </c>
      <c r="D840" s="7" t="str">
        <f>"411303199204130012"</f>
        <v>411303199204130012</v>
      </c>
      <c r="E840" s="8" t="str">
        <f>"10960182827"</f>
        <v>10960182827</v>
      </c>
      <c r="F840" s="7" t="str">
        <f t="shared" si="40"/>
        <v>28</v>
      </c>
      <c r="G840" s="7" t="str">
        <f>"27"</f>
        <v>27</v>
      </c>
      <c r="H840" s="7" t="s">
        <v>45</v>
      </c>
      <c r="I840" s="7" t="s">
        <v>14</v>
      </c>
      <c r="J840" s="9"/>
    </row>
    <row r="841" ht="14.25" spans="1:10">
      <c r="A841" s="7" t="s">
        <v>854</v>
      </c>
      <c r="B841" s="7" t="s">
        <v>855</v>
      </c>
      <c r="C841" s="7" t="str">
        <f t="shared" si="41"/>
        <v>男</v>
      </c>
      <c r="D841" s="7" t="str">
        <f>"411327199610053156"</f>
        <v>411327199610053156</v>
      </c>
      <c r="E841" s="8" t="str">
        <f>"10960192828"</f>
        <v>10960192828</v>
      </c>
      <c r="F841" s="7" t="str">
        <f t="shared" si="40"/>
        <v>28</v>
      </c>
      <c r="G841" s="7" t="str">
        <f>"28"</f>
        <v>28</v>
      </c>
      <c r="H841" s="7" t="s">
        <v>13</v>
      </c>
      <c r="I841" s="7">
        <v>65.3</v>
      </c>
      <c r="J841" s="9"/>
    </row>
    <row r="842" ht="14.25" spans="1:10">
      <c r="A842" s="7" t="s">
        <v>854</v>
      </c>
      <c r="B842" s="7" t="s">
        <v>856</v>
      </c>
      <c r="C842" s="7" t="str">
        <f t="shared" si="41"/>
        <v>男</v>
      </c>
      <c r="D842" s="7" t="str">
        <f>"411325199409077831"</f>
        <v>411325199409077831</v>
      </c>
      <c r="E842" s="8" t="str">
        <f>"10960192829"</f>
        <v>10960192829</v>
      </c>
      <c r="F842" s="7" t="str">
        <f t="shared" si="40"/>
        <v>28</v>
      </c>
      <c r="G842" s="7" t="str">
        <f>"29"</f>
        <v>29</v>
      </c>
      <c r="H842" s="7" t="s">
        <v>13</v>
      </c>
      <c r="I842" s="7">
        <v>60.8</v>
      </c>
      <c r="J842" s="9"/>
    </row>
    <row r="843" ht="14.25" spans="1:10">
      <c r="A843" s="7" t="s">
        <v>854</v>
      </c>
      <c r="B843" s="7" t="s">
        <v>857</v>
      </c>
      <c r="C843" s="7" t="str">
        <f t="shared" si="41"/>
        <v>男</v>
      </c>
      <c r="D843" s="7" t="str">
        <f>"410928199102102159"</f>
        <v>410928199102102159</v>
      </c>
      <c r="E843" s="8" t="str">
        <f>"10960192830"</f>
        <v>10960192830</v>
      </c>
      <c r="F843" s="7" t="str">
        <f t="shared" si="40"/>
        <v>28</v>
      </c>
      <c r="G843" s="7" t="str">
        <f>"30"</f>
        <v>30</v>
      </c>
      <c r="H843" s="7" t="s">
        <v>13</v>
      </c>
      <c r="I843" s="7" t="s">
        <v>14</v>
      </c>
      <c r="J843" s="9"/>
    </row>
    <row r="844" ht="14.25" spans="1:10">
      <c r="A844" s="7" t="s">
        <v>854</v>
      </c>
      <c r="B844" s="7" t="s">
        <v>858</v>
      </c>
      <c r="C844" s="7" t="str">
        <f t="shared" si="41"/>
        <v>男</v>
      </c>
      <c r="D844" s="7" t="str">
        <f>"411325199806130413"</f>
        <v>411325199806130413</v>
      </c>
      <c r="E844" s="8" t="str">
        <f>"10960192901"</f>
        <v>10960192901</v>
      </c>
      <c r="F844" s="7" t="str">
        <f t="shared" ref="F844:F873" si="42">"29"</f>
        <v>29</v>
      </c>
      <c r="G844" s="7" t="str">
        <f>"01"</f>
        <v>01</v>
      </c>
      <c r="H844" s="7" t="s">
        <v>13</v>
      </c>
      <c r="I844" s="7">
        <v>64.1</v>
      </c>
      <c r="J844" s="9"/>
    </row>
    <row r="845" ht="14.25" spans="1:10">
      <c r="A845" s="7" t="s">
        <v>854</v>
      </c>
      <c r="B845" s="7" t="s">
        <v>859</v>
      </c>
      <c r="C845" s="7" t="str">
        <f t="shared" si="41"/>
        <v>男</v>
      </c>
      <c r="D845" s="7" t="str">
        <f>"411323199601205319"</f>
        <v>411323199601205319</v>
      </c>
      <c r="E845" s="8" t="str">
        <f>"10960192902"</f>
        <v>10960192902</v>
      </c>
      <c r="F845" s="7" t="str">
        <f t="shared" si="42"/>
        <v>29</v>
      </c>
      <c r="G845" s="7" t="str">
        <f>"02"</f>
        <v>02</v>
      </c>
      <c r="H845" s="7" t="s">
        <v>13</v>
      </c>
      <c r="I845" s="7" t="s">
        <v>14</v>
      </c>
      <c r="J845" s="9"/>
    </row>
    <row r="846" ht="14.25" spans="1:10">
      <c r="A846" s="7" t="s">
        <v>854</v>
      </c>
      <c r="B846" s="7" t="s">
        <v>860</v>
      </c>
      <c r="C846" s="7" t="str">
        <f t="shared" si="41"/>
        <v>女</v>
      </c>
      <c r="D846" s="7" t="str">
        <f>"411325199903186048"</f>
        <v>411325199903186048</v>
      </c>
      <c r="E846" s="8" t="str">
        <f>"10960192903"</f>
        <v>10960192903</v>
      </c>
      <c r="F846" s="7" t="str">
        <f t="shared" si="42"/>
        <v>29</v>
      </c>
      <c r="G846" s="7" t="str">
        <f>"03"</f>
        <v>03</v>
      </c>
      <c r="H846" s="7" t="s">
        <v>13</v>
      </c>
      <c r="I846" s="7">
        <v>55.9</v>
      </c>
      <c r="J846" s="9"/>
    </row>
    <row r="847" ht="14.25" spans="1:10">
      <c r="A847" s="7" t="s">
        <v>854</v>
      </c>
      <c r="B847" s="7" t="s">
        <v>861</v>
      </c>
      <c r="C847" s="7" t="str">
        <f t="shared" si="41"/>
        <v>女</v>
      </c>
      <c r="D847" s="7" t="str">
        <f>"411328199605127866"</f>
        <v>411328199605127866</v>
      </c>
      <c r="E847" s="8" t="str">
        <f>"10960192904"</f>
        <v>10960192904</v>
      </c>
      <c r="F847" s="7" t="str">
        <f t="shared" si="42"/>
        <v>29</v>
      </c>
      <c r="G847" s="7" t="str">
        <f>"04"</f>
        <v>04</v>
      </c>
      <c r="H847" s="7" t="s">
        <v>13</v>
      </c>
      <c r="I847" s="7">
        <v>60.9</v>
      </c>
      <c r="J847" s="9"/>
    </row>
    <row r="848" ht="14.25" spans="1:10">
      <c r="A848" s="7" t="s">
        <v>854</v>
      </c>
      <c r="B848" s="7" t="s">
        <v>862</v>
      </c>
      <c r="C848" s="7" t="str">
        <f t="shared" si="41"/>
        <v>男</v>
      </c>
      <c r="D848" s="7" t="str">
        <f>"411325199804040019"</f>
        <v>411325199804040019</v>
      </c>
      <c r="E848" s="8" t="str">
        <f>"10960192905"</f>
        <v>10960192905</v>
      </c>
      <c r="F848" s="7" t="str">
        <f t="shared" si="42"/>
        <v>29</v>
      </c>
      <c r="G848" s="7" t="str">
        <f>"05"</f>
        <v>05</v>
      </c>
      <c r="H848" s="7" t="s">
        <v>13</v>
      </c>
      <c r="I848" s="7">
        <v>61.2</v>
      </c>
      <c r="J848" s="9"/>
    </row>
    <row r="849" ht="14.25" spans="1:10">
      <c r="A849" s="7" t="s">
        <v>854</v>
      </c>
      <c r="B849" s="7" t="s">
        <v>863</v>
      </c>
      <c r="C849" s="7" t="str">
        <f t="shared" si="41"/>
        <v>男</v>
      </c>
      <c r="D849" s="7" t="str">
        <f>"411325199611082394"</f>
        <v>411325199611082394</v>
      </c>
      <c r="E849" s="8" t="str">
        <f>"10960192906"</f>
        <v>10960192906</v>
      </c>
      <c r="F849" s="7" t="str">
        <f t="shared" si="42"/>
        <v>29</v>
      </c>
      <c r="G849" s="7" t="str">
        <f>"06"</f>
        <v>06</v>
      </c>
      <c r="H849" s="7" t="s">
        <v>13</v>
      </c>
      <c r="I849" s="7" t="s">
        <v>14</v>
      </c>
      <c r="J849" s="9"/>
    </row>
    <row r="850" ht="14.25" spans="1:10">
      <c r="A850" s="7" t="s">
        <v>854</v>
      </c>
      <c r="B850" s="7" t="s">
        <v>864</v>
      </c>
      <c r="C850" s="7" t="str">
        <f t="shared" si="41"/>
        <v>男</v>
      </c>
      <c r="D850" s="7" t="str">
        <f>"411303199310050518"</f>
        <v>411303199310050518</v>
      </c>
      <c r="E850" s="8" t="str">
        <f>"10960192907"</f>
        <v>10960192907</v>
      </c>
      <c r="F850" s="7" t="str">
        <f t="shared" si="42"/>
        <v>29</v>
      </c>
      <c r="G850" s="7" t="str">
        <f>"07"</f>
        <v>07</v>
      </c>
      <c r="H850" s="7" t="s">
        <v>13</v>
      </c>
      <c r="I850" s="7">
        <v>78.8</v>
      </c>
      <c r="J850" s="9"/>
    </row>
    <row r="851" ht="14.25" spans="1:10">
      <c r="A851" s="7" t="s">
        <v>854</v>
      </c>
      <c r="B851" s="7" t="s">
        <v>865</v>
      </c>
      <c r="C851" s="7" t="str">
        <f t="shared" si="41"/>
        <v>女</v>
      </c>
      <c r="D851" s="7" t="str">
        <f>"411321199808122526"</f>
        <v>411321199808122526</v>
      </c>
      <c r="E851" s="8" t="str">
        <f>"10960192908"</f>
        <v>10960192908</v>
      </c>
      <c r="F851" s="7" t="str">
        <f t="shared" si="42"/>
        <v>29</v>
      </c>
      <c r="G851" s="7" t="str">
        <f>"08"</f>
        <v>08</v>
      </c>
      <c r="H851" s="7" t="s">
        <v>13</v>
      </c>
      <c r="I851" s="7" t="s">
        <v>14</v>
      </c>
      <c r="J851" s="9"/>
    </row>
    <row r="852" ht="14.25" spans="1:10">
      <c r="A852" s="7" t="s">
        <v>854</v>
      </c>
      <c r="B852" s="7" t="s">
        <v>866</v>
      </c>
      <c r="C852" s="7" t="str">
        <f t="shared" si="41"/>
        <v>女</v>
      </c>
      <c r="D852" s="7" t="str">
        <f>"411325199807016524"</f>
        <v>411325199807016524</v>
      </c>
      <c r="E852" s="8" t="str">
        <f>"10960192909"</f>
        <v>10960192909</v>
      </c>
      <c r="F852" s="7" t="str">
        <f t="shared" si="42"/>
        <v>29</v>
      </c>
      <c r="G852" s="7" t="str">
        <f>"09"</f>
        <v>09</v>
      </c>
      <c r="H852" s="7" t="s">
        <v>13</v>
      </c>
      <c r="I852" s="7">
        <v>65.5</v>
      </c>
      <c r="J852" s="9"/>
    </row>
    <row r="853" ht="14.25" spans="1:10">
      <c r="A853" s="7" t="s">
        <v>854</v>
      </c>
      <c r="B853" s="7" t="s">
        <v>867</v>
      </c>
      <c r="C853" s="7" t="str">
        <f t="shared" si="41"/>
        <v>女</v>
      </c>
      <c r="D853" s="7" t="str">
        <f>"411325199708172329"</f>
        <v>411325199708172329</v>
      </c>
      <c r="E853" s="8" t="str">
        <f>"10960192910"</f>
        <v>10960192910</v>
      </c>
      <c r="F853" s="7" t="str">
        <f t="shared" si="42"/>
        <v>29</v>
      </c>
      <c r="G853" s="7" t="str">
        <f>"10"</f>
        <v>10</v>
      </c>
      <c r="H853" s="7" t="s">
        <v>13</v>
      </c>
      <c r="I853" s="7" t="s">
        <v>14</v>
      </c>
      <c r="J853" s="9"/>
    </row>
    <row r="854" ht="14.25" spans="1:10">
      <c r="A854" s="7" t="s">
        <v>854</v>
      </c>
      <c r="B854" s="7" t="s">
        <v>868</v>
      </c>
      <c r="C854" s="7" t="str">
        <f t="shared" si="41"/>
        <v>男</v>
      </c>
      <c r="D854" s="7" t="str">
        <f>"411325199209163532"</f>
        <v>411325199209163532</v>
      </c>
      <c r="E854" s="8" t="str">
        <f>"10960192911"</f>
        <v>10960192911</v>
      </c>
      <c r="F854" s="7" t="str">
        <f t="shared" si="42"/>
        <v>29</v>
      </c>
      <c r="G854" s="7" t="str">
        <f>"11"</f>
        <v>11</v>
      </c>
      <c r="H854" s="7" t="s">
        <v>13</v>
      </c>
      <c r="I854" s="7">
        <v>72.2</v>
      </c>
      <c r="J854" s="9"/>
    </row>
    <row r="855" ht="14.25" spans="1:10">
      <c r="A855" s="7" t="s">
        <v>854</v>
      </c>
      <c r="B855" s="7" t="s">
        <v>869</v>
      </c>
      <c r="C855" s="7" t="str">
        <f t="shared" si="41"/>
        <v>男</v>
      </c>
      <c r="D855" s="7" t="str">
        <f>"411326199502063318"</f>
        <v>411326199502063318</v>
      </c>
      <c r="E855" s="8" t="str">
        <f>"10960192912"</f>
        <v>10960192912</v>
      </c>
      <c r="F855" s="7" t="str">
        <f t="shared" si="42"/>
        <v>29</v>
      </c>
      <c r="G855" s="7" t="str">
        <f>"12"</f>
        <v>12</v>
      </c>
      <c r="H855" s="7" t="s">
        <v>13</v>
      </c>
      <c r="I855" s="7">
        <v>62.4</v>
      </c>
      <c r="J855" s="9"/>
    </row>
    <row r="856" ht="14.25" spans="1:10">
      <c r="A856" s="7" t="s">
        <v>854</v>
      </c>
      <c r="B856" s="7" t="s">
        <v>870</v>
      </c>
      <c r="C856" s="7" t="str">
        <f t="shared" si="41"/>
        <v>女</v>
      </c>
      <c r="D856" s="7" t="str">
        <f>"411325199602187821"</f>
        <v>411325199602187821</v>
      </c>
      <c r="E856" s="8" t="str">
        <f>"10960192913"</f>
        <v>10960192913</v>
      </c>
      <c r="F856" s="7" t="str">
        <f t="shared" si="42"/>
        <v>29</v>
      </c>
      <c r="G856" s="7" t="str">
        <f>"13"</f>
        <v>13</v>
      </c>
      <c r="H856" s="7" t="s">
        <v>13</v>
      </c>
      <c r="I856" s="7" t="s">
        <v>14</v>
      </c>
      <c r="J856" s="9"/>
    </row>
    <row r="857" ht="14.25" spans="1:10">
      <c r="A857" s="7" t="s">
        <v>854</v>
      </c>
      <c r="B857" s="7" t="s">
        <v>871</v>
      </c>
      <c r="C857" s="7" t="str">
        <f t="shared" si="41"/>
        <v>女</v>
      </c>
      <c r="D857" s="7" t="str">
        <f>"41130219970506052X"</f>
        <v>41130219970506052X</v>
      </c>
      <c r="E857" s="8" t="str">
        <f>"10960192914"</f>
        <v>10960192914</v>
      </c>
      <c r="F857" s="7" t="str">
        <f t="shared" si="42"/>
        <v>29</v>
      </c>
      <c r="G857" s="7" t="str">
        <f>"14"</f>
        <v>14</v>
      </c>
      <c r="H857" s="7" t="s">
        <v>13</v>
      </c>
      <c r="I857" s="7" t="s">
        <v>14</v>
      </c>
      <c r="J857" s="9"/>
    </row>
    <row r="858" ht="14.25" spans="1:10">
      <c r="A858" s="7" t="s">
        <v>854</v>
      </c>
      <c r="B858" s="7" t="s">
        <v>872</v>
      </c>
      <c r="C858" s="7" t="str">
        <f t="shared" si="41"/>
        <v>女</v>
      </c>
      <c r="D858" s="7" t="str">
        <f>"411302199108153760"</f>
        <v>411302199108153760</v>
      </c>
      <c r="E858" s="8" t="str">
        <f>"10960192915"</f>
        <v>10960192915</v>
      </c>
      <c r="F858" s="7" t="str">
        <f t="shared" si="42"/>
        <v>29</v>
      </c>
      <c r="G858" s="7" t="str">
        <f>"15"</f>
        <v>15</v>
      </c>
      <c r="H858" s="7" t="s">
        <v>13</v>
      </c>
      <c r="I858" s="7">
        <v>67.8</v>
      </c>
      <c r="J858" s="9"/>
    </row>
    <row r="859" ht="14.25" spans="1:10">
      <c r="A859" s="7" t="s">
        <v>854</v>
      </c>
      <c r="B859" s="7" t="s">
        <v>873</v>
      </c>
      <c r="C859" s="7" t="str">
        <f t="shared" si="41"/>
        <v>女</v>
      </c>
      <c r="D859" s="7" t="str">
        <f>"411302199508160046"</f>
        <v>411302199508160046</v>
      </c>
      <c r="E859" s="8" t="str">
        <f>"10960192916"</f>
        <v>10960192916</v>
      </c>
      <c r="F859" s="7" t="str">
        <f t="shared" si="42"/>
        <v>29</v>
      </c>
      <c r="G859" s="7" t="str">
        <f>"16"</f>
        <v>16</v>
      </c>
      <c r="H859" s="7" t="s">
        <v>13</v>
      </c>
      <c r="I859" s="7" t="s">
        <v>14</v>
      </c>
      <c r="J859" s="9"/>
    </row>
    <row r="860" ht="14.25" spans="1:10">
      <c r="A860" s="7" t="s">
        <v>854</v>
      </c>
      <c r="B860" s="7" t="s">
        <v>874</v>
      </c>
      <c r="C860" s="7" t="str">
        <f t="shared" si="41"/>
        <v>女</v>
      </c>
      <c r="D860" s="7" t="str">
        <f>"411325199603180445"</f>
        <v>411325199603180445</v>
      </c>
      <c r="E860" s="8" t="str">
        <f>"10960192917"</f>
        <v>10960192917</v>
      </c>
      <c r="F860" s="7" t="str">
        <f t="shared" si="42"/>
        <v>29</v>
      </c>
      <c r="G860" s="7" t="str">
        <f>"17"</f>
        <v>17</v>
      </c>
      <c r="H860" s="7" t="s">
        <v>13</v>
      </c>
      <c r="I860" s="7">
        <v>64.3</v>
      </c>
      <c r="J860" s="9"/>
    </row>
    <row r="861" ht="14.25" spans="1:10">
      <c r="A861" s="7" t="s">
        <v>854</v>
      </c>
      <c r="B861" s="7" t="s">
        <v>875</v>
      </c>
      <c r="C861" s="7" t="str">
        <f t="shared" si="41"/>
        <v>男</v>
      </c>
      <c r="D861" s="7" t="str">
        <f>"41132719941115005X"</f>
        <v>41132719941115005X</v>
      </c>
      <c r="E861" s="8" t="str">
        <f>"10960192918"</f>
        <v>10960192918</v>
      </c>
      <c r="F861" s="7" t="str">
        <f t="shared" si="42"/>
        <v>29</v>
      </c>
      <c r="G861" s="7" t="str">
        <f>"18"</f>
        <v>18</v>
      </c>
      <c r="H861" s="7" t="s">
        <v>13</v>
      </c>
      <c r="I861" s="7" t="s">
        <v>14</v>
      </c>
      <c r="J861" s="9"/>
    </row>
    <row r="862" ht="14.25" spans="1:10">
      <c r="A862" s="7" t="s">
        <v>854</v>
      </c>
      <c r="B862" s="7" t="s">
        <v>876</v>
      </c>
      <c r="C862" s="7" t="str">
        <f t="shared" si="41"/>
        <v>男</v>
      </c>
      <c r="D862" s="7" t="str">
        <f>"411329199810130059"</f>
        <v>411329199810130059</v>
      </c>
      <c r="E862" s="8" t="str">
        <f>"10960192919"</f>
        <v>10960192919</v>
      </c>
      <c r="F862" s="7" t="str">
        <f t="shared" si="42"/>
        <v>29</v>
      </c>
      <c r="G862" s="7" t="str">
        <f>"19"</f>
        <v>19</v>
      </c>
      <c r="H862" s="7" t="s">
        <v>13</v>
      </c>
      <c r="I862" s="7" t="s">
        <v>14</v>
      </c>
      <c r="J862" s="9"/>
    </row>
    <row r="863" ht="14.25" spans="1:10">
      <c r="A863" s="7" t="s">
        <v>854</v>
      </c>
      <c r="B863" s="7" t="s">
        <v>877</v>
      </c>
      <c r="C863" s="7" t="str">
        <f t="shared" si="41"/>
        <v>女</v>
      </c>
      <c r="D863" s="7" t="str">
        <f>"411325199612060429"</f>
        <v>411325199612060429</v>
      </c>
      <c r="E863" s="8" t="str">
        <f>"10960192920"</f>
        <v>10960192920</v>
      </c>
      <c r="F863" s="7" t="str">
        <f t="shared" si="42"/>
        <v>29</v>
      </c>
      <c r="G863" s="7" t="str">
        <f>"20"</f>
        <v>20</v>
      </c>
      <c r="H863" s="7" t="s">
        <v>13</v>
      </c>
      <c r="I863" s="7">
        <v>55.4</v>
      </c>
      <c r="J863" s="9"/>
    </row>
    <row r="864" ht="14.25" spans="1:10">
      <c r="A864" s="7" t="s">
        <v>854</v>
      </c>
      <c r="B864" s="7" t="s">
        <v>157</v>
      </c>
      <c r="C864" s="7" t="str">
        <f t="shared" si="41"/>
        <v>男</v>
      </c>
      <c r="D864" s="7" t="str">
        <f>"41329199201142513"</f>
        <v>41329199201142513</v>
      </c>
      <c r="E864" s="8" t="str">
        <f>"10960192921"</f>
        <v>10960192921</v>
      </c>
      <c r="F864" s="7" t="str">
        <f t="shared" si="42"/>
        <v>29</v>
      </c>
      <c r="G864" s="7" t="str">
        <f>"21"</f>
        <v>21</v>
      </c>
      <c r="H864" s="7" t="s">
        <v>13</v>
      </c>
      <c r="I864" s="7">
        <v>41.1</v>
      </c>
      <c r="J864" s="9"/>
    </row>
    <row r="865" ht="14.25" spans="1:10">
      <c r="A865" s="7" t="s">
        <v>854</v>
      </c>
      <c r="B865" s="7" t="s">
        <v>878</v>
      </c>
      <c r="C865" s="7" t="str">
        <f t="shared" si="41"/>
        <v>男</v>
      </c>
      <c r="D865" s="7" t="str">
        <f>"411326199502152839"</f>
        <v>411326199502152839</v>
      </c>
      <c r="E865" s="8" t="str">
        <f>"10960192922"</f>
        <v>10960192922</v>
      </c>
      <c r="F865" s="7" t="str">
        <f t="shared" si="42"/>
        <v>29</v>
      </c>
      <c r="G865" s="7" t="str">
        <f>"22"</f>
        <v>22</v>
      </c>
      <c r="H865" s="7" t="s">
        <v>13</v>
      </c>
      <c r="I865" s="7">
        <v>70.1</v>
      </c>
      <c r="J865" s="9"/>
    </row>
    <row r="866" ht="14.25" spans="1:10">
      <c r="A866" s="7" t="s">
        <v>854</v>
      </c>
      <c r="B866" s="7" t="s">
        <v>879</v>
      </c>
      <c r="C866" s="7" t="str">
        <f t="shared" si="41"/>
        <v>男</v>
      </c>
      <c r="D866" s="7" t="str">
        <f>"411326199505296918"</f>
        <v>411326199505296918</v>
      </c>
      <c r="E866" s="8" t="str">
        <f>"10960192923"</f>
        <v>10960192923</v>
      </c>
      <c r="F866" s="7" t="str">
        <f t="shared" si="42"/>
        <v>29</v>
      </c>
      <c r="G866" s="7" t="str">
        <f>"23"</f>
        <v>23</v>
      </c>
      <c r="H866" s="7" t="s">
        <v>13</v>
      </c>
      <c r="I866" s="7" t="s">
        <v>14</v>
      </c>
      <c r="J866" s="9"/>
    </row>
    <row r="867" ht="14.25" spans="1:10">
      <c r="A867" s="7" t="s">
        <v>854</v>
      </c>
      <c r="B867" s="7" t="s">
        <v>880</v>
      </c>
      <c r="C867" s="7" t="str">
        <f t="shared" si="41"/>
        <v>女</v>
      </c>
      <c r="D867" s="7" t="str">
        <f>"411325199806165528"</f>
        <v>411325199806165528</v>
      </c>
      <c r="E867" s="8" t="str">
        <f>"10960192924"</f>
        <v>10960192924</v>
      </c>
      <c r="F867" s="7" t="str">
        <f t="shared" si="42"/>
        <v>29</v>
      </c>
      <c r="G867" s="7" t="str">
        <f>"24"</f>
        <v>24</v>
      </c>
      <c r="H867" s="7" t="s">
        <v>13</v>
      </c>
      <c r="I867" s="7" t="s">
        <v>14</v>
      </c>
      <c r="J867" s="9"/>
    </row>
    <row r="868" ht="14.25" spans="1:10">
      <c r="A868" s="7" t="s">
        <v>854</v>
      </c>
      <c r="B868" s="7" t="s">
        <v>881</v>
      </c>
      <c r="C868" s="7" t="str">
        <f t="shared" si="41"/>
        <v>女</v>
      </c>
      <c r="D868" s="7" t="str">
        <f>"411325199810171920"</f>
        <v>411325199810171920</v>
      </c>
      <c r="E868" s="8" t="str">
        <f>"10960192925"</f>
        <v>10960192925</v>
      </c>
      <c r="F868" s="7" t="str">
        <f t="shared" si="42"/>
        <v>29</v>
      </c>
      <c r="G868" s="7" t="str">
        <f>"25"</f>
        <v>25</v>
      </c>
      <c r="H868" s="7" t="s">
        <v>13</v>
      </c>
      <c r="I868" s="7">
        <v>68.9</v>
      </c>
      <c r="J868" s="9"/>
    </row>
    <row r="869" ht="14.25" spans="1:10">
      <c r="A869" s="7" t="s">
        <v>854</v>
      </c>
      <c r="B869" s="7" t="s">
        <v>882</v>
      </c>
      <c r="C869" s="7" t="str">
        <f t="shared" si="41"/>
        <v>女</v>
      </c>
      <c r="D869" s="7" t="str">
        <f>"371321199711034543"</f>
        <v>371321199711034543</v>
      </c>
      <c r="E869" s="8" t="str">
        <f>"10960192926"</f>
        <v>10960192926</v>
      </c>
      <c r="F869" s="7" t="str">
        <f t="shared" si="42"/>
        <v>29</v>
      </c>
      <c r="G869" s="7" t="str">
        <f>"26"</f>
        <v>26</v>
      </c>
      <c r="H869" s="7" t="s">
        <v>13</v>
      </c>
      <c r="I869" s="7">
        <v>65.6</v>
      </c>
      <c r="J869" s="9"/>
    </row>
    <row r="870" ht="14.25" spans="1:10">
      <c r="A870" s="7" t="s">
        <v>854</v>
      </c>
      <c r="B870" s="7" t="s">
        <v>883</v>
      </c>
      <c r="C870" s="7" t="str">
        <f t="shared" si="41"/>
        <v>男</v>
      </c>
      <c r="D870" s="7" t="str">
        <f>"411325199412110735"</f>
        <v>411325199412110735</v>
      </c>
      <c r="E870" s="8" t="str">
        <f>"10960192927"</f>
        <v>10960192927</v>
      </c>
      <c r="F870" s="7" t="str">
        <f t="shared" si="42"/>
        <v>29</v>
      </c>
      <c r="G870" s="7" t="str">
        <f>"27"</f>
        <v>27</v>
      </c>
      <c r="H870" s="7" t="s">
        <v>13</v>
      </c>
      <c r="I870" s="7">
        <v>53.5</v>
      </c>
      <c r="J870" s="9"/>
    </row>
    <row r="871" ht="14.25" spans="1:10">
      <c r="A871" s="7" t="s">
        <v>854</v>
      </c>
      <c r="B871" s="7" t="s">
        <v>884</v>
      </c>
      <c r="C871" s="7" t="str">
        <f t="shared" si="41"/>
        <v>女</v>
      </c>
      <c r="D871" s="7" t="str">
        <f>"411325199710200026"</f>
        <v>411325199710200026</v>
      </c>
      <c r="E871" s="8" t="str">
        <f>"10960192928"</f>
        <v>10960192928</v>
      </c>
      <c r="F871" s="7" t="str">
        <f t="shared" si="42"/>
        <v>29</v>
      </c>
      <c r="G871" s="7" t="str">
        <f>"28"</f>
        <v>28</v>
      </c>
      <c r="H871" s="7" t="s">
        <v>13</v>
      </c>
      <c r="I871" s="7">
        <v>47.1</v>
      </c>
      <c r="J871" s="9"/>
    </row>
    <row r="872" ht="14.25" spans="1:10">
      <c r="A872" s="7" t="s">
        <v>854</v>
      </c>
      <c r="B872" s="7" t="s">
        <v>885</v>
      </c>
      <c r="C872" s="7" t="str">
        <f t="shared" si="41"/>
        <v>女</v>
      </c>
      <c r="D872" s="7" t="str">
        <f>"411302199810120846"</f>
        <v>411302199810120846</v>
      </c>
      <c r="E872" s="8" t="str">
        <f>"10960192929"</f>
        <v>10960192929</v>
      </c>
      <c r="F872" s="7" t="str">
        <f t="shared" si="42"/>
        <v>29</v>
      </c>
      <c r="G872" s="7" t="str">
        <f>"29"</f>
        <v>29</v>
      </c>
      <c r="H872" s="7" t="s">
        <v>45</v>
      </c>
      <c r="I872" s="7">
        <v>69.3</v>
      </c>
      <c r="J872" s="9"/>
    </row>
    <row r="873" ht="14.25" spans="1:10">
      <c r="A873" s="7" t="s">
        <v>854</v>
      </c>
      <c r="B873" s="7" t="s">
        <v>886</v>
      </c>
      <c r="C873" s="7" t="str">
        <f t="shared" si="41"/>
        <v>男</v>
      </c>
      <c r="D873" s="7" t="str">
        <f>"410401199612100519"</f>
        <v>410401199612100519</v>
      </c>
      <c r="E873" s="8" t="str">
        <f>"10960192930"</f>
        <v>10960192930</v>
      </c>
      <c r="F873" s="7" t="str">
        <f t="shared" si="42"/>
        <v>29</v>
      </c>
      <c r="G873" s="7" t="str">
        <f>"30"</f>
        <v>30</v>
      </c>
      <c r="H873" s="7" t="s">
        <v>45</v>
      </c>
      <c r="I873" s="7">
        <v>60.4</v>
      </c>
      <c r="J873" s="9"/>
    </row>
    <row r="874" ht="14.25" spans="1:10">
      <c r="A874" s="7" t="s">
        <v>854</v>
      </c>
      <c r="B874" s="7" t="s">
        <v>887</v>
      </c>
      <c r="C874" s="7" t="str">
        <f t="shared" si="41"/>
        <v>男</v>
      </c>
      <c r="D874" s="7" t="str">
        <f>"412702199507023675"</f>
        <v>412702199507023675</v>
      </c>
      <c r="E874" s="8" t="str">
        <f>"10960193001"</f>
        <v>10960193001</v>
      </c>
      <c r="F874" s="7" t="str">
        <f t="shared" ref="F874:F903" si="43">"30"</f>
        <v>30</v>
      </c>
      <c r="G874" s="7" t="str">
        <f>"01"</f>
        <v>01</v>
      </c>
      <c r="H874" s="7" t="s">
        <v>45</v>
      </c>
      <c r="I874" s="7" t="s">
        <v>14</v>
      </c>
      <c r="J874" s="9"/>
    </row>
    <row r="875" ht="14.25" spans="1:10">
      <c r="A875" s="7" t="s">
        <v>854</v>
      </c>
      <c r="B875" s="7" t="s">
        <v>888</v>
      </c>
      <c r="C875" s="7" t="str">
        <f t="shared" si="41"/>
        <v>女</v>
      </c>
      <c r="D875" s="7" t="str">
        <f>"411330199611251523"</f>
        <v>411330199611251523</v>
      </c>
      <c r="E875" s="8" t="str">
        <f>"10960193002"</f>
        <v>10960193002</v>
      </c>
      <c r="F875" s="7" t="str">
        <f t="shared" si="43"/>
        <v>30</v>
      </c>
      <c r="G875" s="7" t="str">
        <f>"02"</f>
        <v>02</v>
      </c>
      <c r="H875" s="7" t="s">
        <v>45</v>
      </c>
      <c r="I875" s="7">
        <v>79</v>
      </c>
      <c r="J875" s="9"/>
    </row>
    <row r="876" ht="14.25" spans="1:10">
      <c r="A876" s="7" t="s">
        <v>854</v>
      </c>
      <c r="B876" s="7" t="s">
        <v>889</v>
      </c>
      <c r="C876" s="7" t="str">
        <f t="shared" si="41"/>
        <v>女</v>
      </c>
      <c r="D876" s="7" t="str">
        <f>"41072819910828452X"</f>
        <v>41072819910828452X</v>
      </c>
      <c r="E876" s="8" t="str">
        <f>"10960193003"</f>
        <v>10960193003</v>
      </c>
      <c r="F876" s="7" t="str">
        <f t="shared" si="43"/>
        <v>30</v>
      </c>
      <c r="G876" s="7" t="str">
        <f>"03"</f>
        <v>03</v>
      </c>
      <c r="H876" s="7" t="s">
        <v>45</v>
      </c>
      <c r="I876" s="7" t="s">
        <v>14</v>
      </c>
      <c r="J876" s="9"/>
    </row>
    <row r="877" ht="14.25" spans="1:10">
      <c r="A877" s="7" t="s">
        <v>854</v>
      </c>
      <c r="B877" s="7" t="s">
        <v>890</v>
      </c>
      <c r="C877" s="7" t="str">
        <f t="shared" si="41"/>
        <v>女</v>
      </c>
      <c r="D877" s="7" t="str">
        <f>"411325199703153583"</f>
        <v>411325199703153583</v>
      </c>
      <c r="E877" s="8" t="str">
        <f>"10960193004"</f>
        <v>10960193004</v>
      </c>
      <c r="F877" s="7" t="str">
        <f t="shared" si="43"/>
        <v>30</v>
      </c>
      <c r="G877" s="7" t="str">
        <f>"04"</f>
        <v>04</v>
      </c>
      <c r="H877" s="7" t="s">
        <v>45</v>
      </c>
      <c r="I877" s="7">
        <v>47.8</v>
      </c>
      <c r="J877" s="9"/>
    </row>
    <row r="878" ht="14.25" spans="1:10">
      <c r="A878" s="7" t="s">
        <v>854</v>
      </c>
      <c r="B878" s="7" t="s">
        <v>891</v>
      </c>
      <c r="C878" s="7" t="str">
        <f t="shared" si="41"/>
        <v>女</v>
      </c>
      <c r="D878" s="7" t="str">
        <f>"411325199510279024"</f>
        <v>411325199510279024</v>
      </c>
      <c r="E878" s="8" t="str">
        <f>"10960193005"</f>
        <v>10960193005</v>
      </c>
      <c r="F878" s="7" t="str">
        <f t="shared" si="43"/>
        <v>30</v>
      </c>
      <c r="G878" s="7" t="str">
        <f>"05"</f>
        <v>05</v>
      </c>
      <c r="H878" s="7" t="s">
        <v>45</v>
      </c>
      <c r="I878" s="7">
        <v>78.6</v>
      </c>
      <c r="J878" s="9"/>
    </row>
    <row r="879" ht="14.25" spans="1:10">
      <c r="A879" s="7" t="s">
        <v>854</v>
      </c>
      <c r="B879" s="7" t="s">
        <v>892</v>
      </c>
      <c r="C879" s="7" t="str">
        <f t="shared" si="41"/>
        <v>男</v>
      </c>
      <c r="D879" s="7" t="str">
        <f>"411303199803160037"</f>
        <v>411303199803160037</v>
      </c>
      <c r="E879" s="8" t="str">
        <f>"10960193006"</f>
        <v>10960193006</v>
      </c>
      <c r="F879" s="7" t="str">
        <f t="shared" si="43"/>
        <v>30</v>
      </c>
      <c r="G879" s="7" t="str">
        <f>"06"</f>
        <v>06</v>
      </c>
      <c r="H879" s="7" t="s">
        <v>45</v>
      </c>
      <c r="I879" s="7" t="s">
        <v>14</v>
      </c>
      <c r="J879" s="9"/>
    </row>
    <row r="880" ht="14.25" spans="1:10">
      <c r="A880" s="7" t="s">
        <v>854</v>
      </c>
      <c r="B880" s="7" t="s">
        <v>893</v>
      </c>
      <c r="C880" s="7" t="str">
        <f t="shared" si="41"/>
        <v>女</v>
      </c>
      <c r="D880" s="7" t="str">
        <f>"411325199206012982"</f>
        <v>411325199206012982</v>
      </c>
      <c r="E880" s="8" t="str">
        <f>"10960193007"</f>
        <v>10960193007</v>
      </c>
      <c r="F880" s="7" t="str">
        <f t="shared" si="43"/>
        <v>30</v>
      </c>
      <c r="G880" s="7" t="str">
        <f>"07"</f>
        <v>07</v>
      </c>
      <c r="H880" s="7" t="s">
        <v>45</v>
      </c>
      <c r="I880" s="7">
        <v>67.9</v>
      </c>
      <c r="J880" s="9"/>
    </row>
    <row r="881" ht="14.25" spans="1:10">
      <c r="A881" s="7" t="s">
        <v>854</v>
      </c>
      <c r="B881" s="7" t="s">
        <v>894</v>
      </c>
      <c r="C881" s="7" t="str">
        <f t="shared" si="41"/>
        <v>女</v>
      </c>
      <c r="D881" s="7" t="str">
        <f>"410181199711126023"</f>
        <v>410181199711126023</v>
      </c>
      <c r="E881" s="8" t="str">
        <f>"10960193008"</f>
        <v>10960193008</v>
      </c>
      <c r="F881" s="7" t="str">
        <f t="shared" si="43"/>
        <v>30</v>
      </c>
      <c r="G881" s="7" t="str">
        <f>"08"</f>
        <v>08</v>
      </c>
      <c r="H881" s="7" t="s">
        <v>45</v>
      </c>
      <c r="I881" s="7" t="s">
        <v>14</v>
      </c>
      <c r="J881" s="9"/>
    </row>
    <row r="882" ht="14.25" spans="1:10">
      <c r="A882" s="7" t="s">
        <v>854</v>
      </c>
      <c r="B882" s="7" t="s">
        <v>895</v>
      </c>
      <c r="C882" s="7" t="str">
        <f t="shared" si="41"/>
        <v>男</v>
      </c>
      <c r="D882" s="7" t="str">
        <f>"41132319961016001X"</f>
        <v>41132319961016001X</v>
      </c>
      <c r="E882" s="8" t="str">
        <f>"10960193009"</f>
        <v>10960193009</v>
      </c>
      <c r="F882" s="7" t="str">
        <f t="shared" si="43"/>
        <v>30</v>
      </c>
      <c r="G882" s="7" t="str">
        <f>"09"</f>
        <v>09</v>
      </c>
      <c r="H882" s="7" t="s">
        <v>45</v>
      </c>
      <c r="I882" s="7">
        <v>77.9</v>
      </c>
      <c r="J882" s="9"/>
    </row>
    <row r="883" ht="14.25" spans="1:10">
      <c r="A883" s="7" t="s">
        <v>854</v>
      </c>
      <c r="B883" s="7" t="s">
        <v>896</v>
      </c>
      <c r="C883" s="7" t="str">
        <f t="shared" si="41"/>
        <v>女</v>
      </c>
      <c r="D883" s="7" t="str">
        <f>"412822199508123767"</f>
        <v>412822199508123767</v>
      </c>
      <c r="E883" s="8" t="str">
        <f>"10960193010"</f>
        <v>10960193010</v>
      </c>
      <c r="F883" s="7" t="str">
        <f t="shared" si="43"/>
        <v>30</v>
      </c>
      <c r="G883" s="7" t="str">
        <f>"10"</f>
        <v>10</v>
      </c>
      <c r="H883" s="7" t="s">
        <v>45</v>
      </c>
      <c r="I883" s="7" t="s">
        <v>14</v>
      </c>
      <c r="J883" s="9"/>
    </row>
    <row r="884" ht="14.25" spans="1:10">
      <c r="A884" s="7" t="s">
        <v>854</v>
      </c>
      <c r="B884" s="7" t="s">
        <v>897</v>
      </c>
      <c r="C884" s="7" t="str">
        <f t="shared" si="41"/>
        <v>男</v>
      </c>
      <c r="D884" s="7" t="str">
        <f>"411327199301210613"</f>
        <v>411327199301210613</v>
      </c>
      <c r="E884" s="8" t="str">
        <f>"10960193011"</f>
        <v>10960193011</v>
      </c>
      <c r="F884" s="7" t="str">
        <f t="shared" si="43"/>
        <v>30</v>
      </c>
      <c r="G884" s="7" t="str">
        <f>"11"</f>
        <v>11</v>
      </c>
      <c r="H884" s="7" t="s">
        <v>45</v>
      </c>
      <c r="I884" s="7">
        <v>65.8</v>
      </c>
      <c r="J884" s="9"/>
    </row>
    <row r="885" ht="14.25" spans="1:10">
      <c r="A885" s="7" t="s">
        <v>854</v>
      </c>
      <c r="B885" s="7" t="s">
        <v>898</v>
      </c>
      <c r="C885" s="7" t="str">
        <f t="shared" si="41"/>
        <v>男</v>
      </c>
      <c r="D885" s="7" t="str">
        <f>"411329199711275017"</f>
        <v>411329199711275017</v>
      </c>
      <c r="E885" s="8" t="str">
        <f>"10960193012"</f>
        <v>10960193012</v>
      </c>
      <c r="F885" s="7" t="str">
        <f t="shared" si="43"/>
        <v>30</v>
      </c>
      <c r="G885" s="7" t="str">
        <f>"12"</f>
        <v>12</v>
      </c>
      <c r="H885" s="7" t="s">
        <v>45</v>
      </c>
      <c r="I885" s="7" t="s">
        <v>14</v>
      </c>
      <c r="J885" s="9"/>
    </row>
    <row r="886" ht="14.25" spans="1:10">
      <c r="A886" s="7" t="s">
        <v>854</v>
      </c>
      <c r="B886" s="7" t="s">
        <v>899</v>
      </c>
      <c r="C886" s="7" t="str">
        <f t="shared" si="41"/>
        <v>女</v>
      </c>
      <c r="D886" s="7" t="str">
        <f>"411327199308100628"</f>
        <v>411327199308100628</v>
      </c>
      <c r="E886" s="8" t="str">
        <f>"10960193013"</f>
        <v>10960193013</v>
      </c>
      <c r="F886" s="7" t="str">
        <f t="shared" si="43"/>
        <v>30</v>
      </c>
      <c r="G886" s="7" t="str">
        <f>"13"</f>
        <v>13</v>
      </c>
      <c r="H886" s="7" t="s">
        <v>45</v>
      </c>
      <c r="I886" s="7" t="s">
        <v>14</v>
      </c>
      <c r="J886" s="9"/>
    </row>
    <row r="887" ht="14.25" spans="1:10">
      <c r="A887" s="7" t="s">
        <v>854</v>
      </c>
      <c r="B887" s="7" t="s">
        <v>900</v>
      </c>
      <c r="C887" s="7" t="str">
        <f t="shared" si="41"/>
        <v>男</v>
      </c>
      <c r="D887" s="7" t="str">
        <f>"413001199407243036"</f>
        <v>413001199407243036</v>
      </c>
      <c r="E887" s="8" t="str">
        <f>"10960193014"</f>
        <v>10960193014</v>
      </c>
      <c r="F887" s="7" t="str">
        <f t="shared" si="43"/>
        <v>30</v>
      </c>
      <c r="G887" s="7" t="str">
        <f>"14"</f>
        <v>14</v>
      </c>
      <c r="H887" s="7" t="s">
        <v>45</v>
      </c>
      <c r="I887" s="7">
        <v>72.6</v>
      </c>
      <c r="J887" s="9"/>
    </row>
    <row r="888" ht="14.25" spans="1:10">
      <c r="A888" s="7" t="s">
        <v>854</v>
      </c>
      <c r="B888" s="7" t="s">
        <v>901</v>
      </c>
      <c r="C888" s="7" t="str">
        <f t="shared" si="41"/>
        <v>男</v>
      </c>
      <c r="D888" s="7" t="str">
        <f>"410181199710215016"</f>
        <v>410181199710215016</v>
      </c>
      <c r="E888" s="8" t="str">
        <f>"10960193015"</f>
        <v>10960193015</v>
      </c>
      <c r="F888" s="7" t="str">
        <f t="shared" si="43"/>
        <v>30</v>
      </c>
      <c r="G888" s="7" t="str">
        <f>"15"</f>
        <v>15</v>
      </c>
      <c r="H888" s="7" t="s">
        <v>45</v>
      </c>
      <c r="I888" s="7" t="s">
        <v>14</v>
      </c>
      <c r="J888" s="9"/>
    </row>
    <row r="889" ht="14.25" spans="1:10">
      <c r="A889" s="7" t="s">
        <v>854</v>
      </c>
      <c r="B889" s="7" t="s">
        <v>902</v>
      </c>
      <c r="C889" s="7" t="str">
        <f t="shared" si="41"/>
        <v>男</v>
      </c>
      <c r="D889" s="7" t="str">
        <f>"411324199710140055"</f>
        <v>411324199710140055</v>
      </c>
      <c r="E889" s="8" t="str">
        <f>"10960193016"</f>
        <v>10960193016</v>
      </c>
      <c r="F889" s="7" t="str">
        <f t="shared" si="43"/>
        <v>30</v>
      </c>
      <c r="G889" s="7" t="str">
        <f>"16"</f>
        <v>16</v>
      </c>
      <c r="H889" s="7" t="s">
        <v>45</v>
      </c>
      <c r="I889" s="7" t="s">
        <v>14</v>
      </c>
      <c r="J889" s="9"/>
    </row>
    <row r="890" ht="14.25" spans="1:10">
      <c r="A890" s="7" t="s">
        <v>854</v>
      </c>
      <c r="B890" s="7" t="s">
        <v>903</v>
      </c>
      <c r="C890" s="7" t="str">
        <f t="shared" si="41"/>
        <v>女</v>
      </c>
      <c r="D890" s="7" t="str">
        <f>"411321199604010020"</f>
        <v>411321199604010020</v>
      </c>
      <c r="E890" s="8" t="str">
        <f>"10960193017"</f>
        <v>10960193017</v>
      </c>
      <c r="F890" s="7" t="str">
        <f t="shared" si="43"/>
        <v>30</v>
      </c>
      <c r="G890" s="7" t="str">
        <f>"17"</f>
        <v>17</v>
      </c>
      <c r="H890" s="7" t="s">
        <v>45</v>
      </c>
      <c r="I890" s="7" t="s">
        <v>14</v>
      </c>
      <c r="J890" s="9"/>
    </row>
    <row r="891" ht="14.25" spans="1:10">
      <c r="A891" s="7" t="s">
        <v>854</v>
      </c>
      <c r="B891" s="7" t="s">
        <v>904</v>
      </c>
      <c r="C891" s="7" t="str">
        <f t="shared" si="41"/>
        <v>男</v>
      </c>
      <c r="D891" s="7" t="str">
        <f>"411328199710170030"</f>
        <v>411328199710170030</v>
      </c>
      <c r="E891" s="8" t="str">
        <f>"10960193018"</f>
        <v>10960193018</v>
      </c>
      <c r="F891" s="7" t="str">
        <f t="shared" si="43"/>
        <v>30</v>
      </c>
      <c r="G891" s="7" t="str">
        <f>"18"</f>
        <v>18</v>
      </c>
      <c r="H891" s="7" t="s">
        <v>45</v>
      </c>
      <c r="I891" s="7" t="s">
        <v>14</v>
      </c>
      <c r="J891" s="9"/>
    </row>
    <row r="892" ht="14.25" spans="1:10">
      <c r="A892" s="7" t="s">
        <v>854</v>
      </c>
      <c r="B892" s="7" t="s">
        <v>905</v>
      </c>
      <c r="C892" s="7" t="str">
        <f t="shared" si="41"/>
        <v>男</v>
      </c>
      <c r="D892" s="7" t="str">
        <f>"410183199707277518"</f>
        <v>410183199707277518</v>
      </c>
      <c r="E892" s="8" t="str">
        <f>"10960193019"</f>
        <v>10960193019</v>
      </c>
      <c r="F892" s="7" t="str">
        <f t="shared" si="43"/>
        <v>30</v>
      </c>
      <c r="G892" s="7" t="str">
        <f>"19"</f>
        <v>19</v>
      </c>
      <c r="H892" s="7" t="s">
        <v>45</v>
      </c>
      <c r="I892" s="7" t="s">
        <v>14</v>
      </c>
      <c r="J892" s="9"/>
    </row>
    <row r="893" ht="14.25" spans="1:10">
      <c r="A893" s="7" t="s">
        <v>854</v>
      </c>
      <c r="B893" s="7" t="s">
        <v>906</v>
      </c>
      <c r="C893" s="7" t="str">
        <f t="shared" si="41"/>
        <v>女</v>
      </c>
      <c r="D893" s="7" t="str">
        <f>"410181199106305082"</f>
        <v>410181199106305082</v>
      </c>
      <c r="E893" s="8" t="str">
        <f>"10960193020"</f>
        <v>10960193020</v>
      </c>
      <c r="F893" s="7" t="str">
        <f t="shared" si="43"/>
        <v>30</v>
      </c>
      <c r="G893" s="7" t="str">
        <f>"20"</f>
        <v>20</v>
      </c>
      <c r="H893" s="7" t="s">
        <v>45</v>
      </c>
      <c r="I893" s="7" t="s">
        <v>14</v>
      </c>
      <c r="J893" s="9"/>
    </row>
    <row r="894" ht="14.25" spans="1:10">
      <c r="A894" s="7" t="s">
        <v>854</v>
      </c>
      <c r="B894" s="7" t="s">
        <v>907</v>
      </c>
      <c r="C894" s="7" t="str">
        <f t="shared" si="41"/>
        <v>女</v>
      </c>
      <c r="D894" s="7" t="str">
        <f>"411321199806010029"</f>
        <v>411321199806010029</v>
      </c>
      <c r="E894" s="8" t="str">
        <f>"10960193021"</f>
        <v>10960193021</v>
      </c>
      <c r="F894" s="7" t="str">
        <f t="shared" si="43"/>
        <v>30</v>
      </c>
      <c r="G894" s="7" t="str">
        <f>"21"</f>
        <v>21</v>
      </c>
      <c r="H894" s="7" t="s">
        <v>45</v>
      </c>
      <c r="I894" s="7" t="s">
        <v>14</v>
      </c>
      <c r="J894" s="9"/>
    </row>
    <row r="895" ht="14.25" spans="1:10">
      <c r="A895" s="7" t="s">
        <v>854</v>
      </c>
      <c r="B895" s="7" t="s">
        <v>908</v>
      </c>
      <c r="C895" s="7" t="str">
        <f t="shared" si="41"/>
        <v>女</v>
      </c>
      <c r="D895" s="7" t="str">
        <f>"41282119950820646X"</f>
        <v>41282119950820646X</v>
      </c>
      <c r="E895" s="8" t="str">
        <f>"10960193022"</f>
        <v>10960193022</v>
      </c>
      <c r="F895" s="7" t="str">
        <f t="shared" si="43"/>
        <v>30</v>
      </c>
      <c r="G895" s="7" t="str">
        <f>"22"</f>
        <v>22</v>
      </c>
      <c r="H895" s="7" t="s">
        <v>45</v>
      </c>
      <c r="I895" s="7" t="s">
        <v>14</v>
      </c>
      <c r="J895" s="9"/>
    </row>
    <row r="896" ht="14.25" spans="1:10">
      <c r="A896" s="7" t="s">
        <v>854</v>
      </c>
      <c r="B896" s="7" t="s">
        <v>909</v>
      </c>
      <c r="C896" s="7" t="str">
        <f t="shared" si="41"/>
        <v>男</v>
      </c>
      <c r="D896" s="7" t="str">
        <f>"411325199710087035"</f>
        <v>411325199710087035</v>
      </c>
      <c r="E896" s="8" t="str">
        <f>"10960193023"</f>
        <v>10960193023</v>
      </c>
      <c r="F896" s="7" t="str">
        <f t="shared" si="43"/>
        <v>30</v>
      </c>
      <c r="G896" s="7" t="str">
        <f>"23"</f>
        <v>23</v>
      </c>
      <c r="H896" s="7" t="s">
        <v>45</v>
      </c>
      <c r="I896" s="7">
        <v>62.9</v>
      </c>
      <c r="J896" s="9"/>
    </row>
    <row r="897" ht="14.25" spans="1:10">
      <c r="A897" s="7" t="s">
        <v>854</v>
      </c>
      <c r="B897" s="7" t="s">
        <v>910</v>
      </c>
      <c r="C897" s="7" t="str">
        <f t="shared" si="41"/>
        <v>女</v>
      </c>
      <c r="D897" s="7" t="str">
        <f>"410403199712205548"</f>
        <v>410403199712205548</v>
      </c>
      <c r="E897" s="8" t="str">
        <f>"10960193024"</f>
        <v>10960193024</v>
      </c>
      <c r="F897" s="7" t="str">
        <f t="shared" si="43"/>
        <v>30</v>
      </c>
      <c r="G897" s="7" t="str">
        <f>"24"</f>
        <v>24</v>
      </c>
      <c r="H897" s="7" t="s">
        <v>45</v>
      </c>
      <c r="I897" s="7" t="s">
        <v>14</v>
      </c>
      <c r="J897" s="9"/>
    </row>
    <row r="898" ht="14.25" spans="1:10">
      <c r="A898" s="7" t="s">
        <v>854</v>
      </c>
      <c r="B898" s="7" t="s">
        <v>911</v>
      </c>
      <c r="C898" s="7" t="str">
        <f t="shared" si="41"/>
        <v>男</v>
      </c>
      <c r="D898" s="7" t="str">
        <f>"411302199008185714"</f>
        <v>411302199008185714</v>
      </c>
      <c r="E898" s="8" t="str">
        <f>"10960193025"</f>
        <v>10960193025</v>
      </c>
      <c r="F898" s="7" t="str">
        <f t="shared" si="43"/>
        <v>30</v>
      </c>
      <c r="G898" s="7" t="str">
        <f>"25"</f>
        <v>25</v>
      </c>
      <c r="H898" s="7" t="s">
        <v>45</v>
      </c>
      <c r="I898" s="7" t="s">
        <v>14</v>
      </c>
      <c r="J898" s="9"/>
    </row>
    <row r="899" ht="14.25" spans="1:10">
      <c r="A899" s="7" t="s">
        <v>854</v>
      </c>
      <c r="B899" s="7" t="s">
        <v>912</v>
      </c>
      <c r="C899" s="7" t="str">
        <f t="shared" si="41"/>
        <v>女</v>
      </c>
      <c r="D899" s="7" t="str">
        <f>"410305199704023522"</f>
        <v>410305199704023522</v>
      </c>
      <c r="E899" s="8" t="str">
        <f>"10960193026"</f>
        <v>10960193026</v>
      </c>
      <c r="F899" s="7" t="str">
        <f t="shared" si="43"/>
        <v>30</v>
      </c>
      <c r="G899" s="7" t="str">
        <f>"26"</f>
        <v>26</v>
      </c>
      <c r="H899" s="7" t="s">
        <v>45</v>
      </c>
      <c r="I899" s="7" t="s">
        <v>14</v>
      </c>
      <c r="J899" s="9"/>
    </row>
    <row r="900" ht="14.25" spans="1:10">
      <c r="A900" s="7" t="s">
        <v>854</v>
      </c>
      <c r="B900" s="7" t="s">
        <v>913</v>
      </c>
      <c r="C900" s="7" t="str">
        <f t="shared" ref="C900:C963" si="44">IF(MOD(MID(D900,17,1),2),"男","女")</f>
        <v>男</v>
      </c>
      <c r="D900" s="7" t="str">
        <f>"411329199601193512"</f>
        <v>411329199601193512</v>
      </c>
      <c r="E900" s="8" t="str">
        <f>"10960193027"</f>
        <v>10960193027</v>
      </c>
      <c r="F900" s="7" t="str">
        <f t="shared" si="43"/>
        <v>30</v>
      </c>
      <c r="G900" s="7" t="str">
        <f>"27"</f>
        <v>27</v>
      </c>
      <c r="H900" s="7" t="s">
        <v>45</v>
      </c>
      <c r="I900" s="7" t="s">
        <v>14</v>
      </c>
      <c r="J900" s="9"/>
    </row>
    <row r="901" ht="14.25" spans="1:10">
      <c r="A901" s="7" t="s">
        <v>854</v>
      </c>
      <c r="B901" s="7" t="s">
        <v>914</v>
      </c>
      <c r="C901" s="7" t="str">
        <f t="shared" si="44"/>
        <v>女</v>
      </c>
      <c r="D901" s="7" t="str">
        <f>"41132319970201532X"</f>
        <v>41132319970201532X</v>
      </c>
      <c r="E901" s="8" t="str">
        <f>"10960193028"</f>
        <v>10960193028</v>
      </c>
      <c r="F901" s="7" t="str">
        <f t="shared" si="43"/>
        <v>30</v>
      </c>
      <c r="G901" s="7" t="str">
        <f>"28"</f>
        <v>28</v>
      </c>
      <c r="H901" s="7" t="s">
        <v>45</v>
      </c>
      <c r="I901" s="7" t="s">
        <v>14</v>
      </c>
      <c r="J901" s="9"/>
    </row>
    <row r="902" ht="14.25" spans="1:10">
      <c r="A902" s="7" t="s">
        <v>854</v>
      </c>
      <c r="B902" s="7" t="s">
        <v>915</v>
      </c>
      <c r="C902" s="7" t="str">
        <f t="shared" si="44"/>
        <v>男</v>
      </c>
      <c r="D902" s="7" t="str">
        <f>"411323199410114430"</f>
        <v>411323199410114430</v>
      </c>
      <c r="E902" s="8" t="str">
        <f>"10960193029"</f>
        <v>10960193029</v>
      </c>
      <c r="F902" s="7" t="str">
        <f t="shared" si="43"/>
        <v>30</v>
      </c>
      <c r="G902" s="7" t="str">
        <f>"29"</f>
        <v>29</v>
      </c>
      <c r="H902" s="7" t="s">
        <v>45</v>
      </c>
      <c r="I902" s="7">
        <v>72.2</v>
      </c>
      <c r="J902" s="9"/>
    </row>
    <row r="903" ht="14.25" spans="1:10">
      <c r="A903" s="7" t="s">
        <v>854</v>
      </c>
      <c r="B903" s="7" t="s">
        <v>916</v>
      </c>
      <c r="C903" s="7" t="str">
        <f t="shared" si="44"/>
        <v>男</v>
      </c>
      <c r="D903" s="7" t="str">
        <f>"411303199403151035"</f>
        <v>411303199403151035</v>
      </c>
      <c r="E903" s="8" t="str">
        <f>"10960193030"</f>
        <v>10960193030</v>
      </c>
      <c r="F903" s="7" t="str">
        <f t="shared" si="43"/>
        <v>30</v>
      </c>
      <c r="G903" s="7" t="str">
        <f>"30"</f>
        <v>30</v>
      </c>
      <c r="H903" s="7" t="s">
        <v>45</v>
      </c>
      <c r="I903" s="7" t="s">
        <v>14</v>
      </c>
      <c r="J903" s="9"/>
    </row>
    <row r="904" ht="14.25" spans="1:10">
      <c r="A904" s="7" t="s">
        <v>854</v>
      </c>
      <c r="B904" s="7" t="s">
        <v>917</v>
      </c>
      <c r="C904" s="7" t="str">
        <f t="shared" si="44"/>
        <v>男</v>
      </c>
      <c r="D904" s="7" t="str">
        <f>"411726199601028413"</f>
        <v>411726199601028413</v>
      </c>
      <c r="E904" s="8" t="str">
        <f>"10960193101"</f>
        <v>10960193101</v>
      </c>
      <c r="F904" s="7" t="str">
        <f t="shared" ref="F904:F933" si="45">"31"</f>
        <v>31</v>
      </c>
      <c r="G904" s="7" t="str">
        <f>"01"</f>
        <v>01</v>
      </c>
      <c r="H904" s="7" t="s">
        <v>45</v>
      </c>
      <c r="I904" s="7" t="s">
        <v>14</v>
      </c>
      <c r="J904" s="9"/>
    </row>
    <row r="905" ht="14.25" spans="1:10">
      <c r="A905" s="7" t="s">
        <v>854</v>
      </c>
      <c r="B905" s="7" t="s">
        <v>918</v>
      </c>
      <c r="C905" s="7" t="str">
        <f t="shared" si="44"/>
        <v>男</v>
      </c>
      <c r="D905" s="7" t="str">
        <f>"411328199310122777"</f>
        <v>411328199310122777</v>
      </c>
      <c r="E905" s="8" t="str">
        <f>"10960193102"</f>
        <v>10960193102</v>
      </c>
      <c r="F905" s="7" t="str">
        <f t="shared" si="45"/>
        <v>31</v>
      </c>
      <c r="G905" s="7" t="str">
        <f>"02"</f>
        <v>02</v>
      </c>
      <c r="H905" s="7" t="s">
        <v>45</v>
      </c>
      <c r="I905" s="7" t="s">
        <v>14</v>
      </c>
      <c r="J905" s="9"/>
    </row>
    <row r="906" ht="14.25" spans="1:10">
      <c r="A906" s="7" t="s">
        <v>854</v>
      </c>
      <c r="B906" s="7" t="s">
        <v>688</v>
      </c>
      <c r="C906" s="7" t="str">
        <f t="shared" si="44"/>
        <v>男</v>
      </c>
      <c r="D906" s="7" t="str">
        <f>"410502199212303511"</f>
        <v>410502199212303511</v>
      </c>
      <c r="E906" s="8" t="str">
        <f>"10960193103"</f>
        <v>10960193103</v>
      </c>
      <c r="F906" s="7" t="str">
        <f t="shared" si="45"/>
        <v>31</v>
      </c>
      <c r="G906" s="7" t="str">
        <f>"03"</f>
        <v>03</v>
      </c>
      <c r="H906" s="7" t="s">
        <v>45</v>
      </c>
      <c r="I906" s="7" t="s">
        <v>14</v>
      </c>
      <c r="J906" s="9"/>
    </row>
    <row r="907" ht="14.25" spans="1:10">
      <c r="A907" s="7" t="s">
        <v>854</v>
      </c>
      <c r="B907" s="7" t="s">
        <v>919</v>
      </c>
      <c r="C907" s="7" t="str">
        <f t="shared" si="44"/>
        <v>男</v>
      </c>
      <c r="D907" s="7" t="str">
        <f>"411328199003230014"</f>
        <v>411328199003230014</v>
      </c>
      <c r="E907" s="8" t="str">
        <f>"10960193104"</f>
        <v>10960193104</v>
      </c>
      <c r="F907" s="7" t="str">
        <f t="shared" si="45"/>
        <v>31</v>
      </c>
      <c r="G907" s="7" t="str">
        <f>"04"</f>
        <v>04</v>
      </c>
      <c r="H907" s="7" t="s">
        <v>45</v>
      </c>
      <c r="I907" s="7">
        <v>70.4</v>
      </c>
      <c r="J907" s="9"/>
    </row>
    <row r="908" ht="14.25" spans="1:10">
      <c r="A908" s="7" t="s">
        <v>854</v>
      </c>
      <c r="B908" s="7" t="s">
        <v>920</v>
      </c>
      <c r="C908" s="7" t="str">
        <f t="shared" si="44"/>
        <v>男</v>
      </c>
      <c r="D908" s="7" t="str">
        <f>"410305199609270517"</f>
        <v>410305199609270517</v>
      </c>
      <c r="E908" s="8" t="str">
        <f>"10960193105"</f>
        <v>10960193105</v>
      </c>
      <c r="F908" s="7" t="str">
        <f t="shared" si="45"/>
        <v>31</v>
      </c>
      <c r="G908" s="7" t="str">
        <f>"05"</f>
        <v>05</v>
      </c>
      <c r="H908" s="7" t="s">
        <v>45</v>
      </c>
      <c r="I908" s="7" t="s">
        <v>14</v>
      </c>
      <c r="J908" s="9"/>
    </row>
    <row r="909" ht="14.25" spans="1:10">
      <c r="A909" s="7" t="s">
        <v>854</v>
      </c>
      <c r="B909" s="7" t="s">
        <v>921</v>
      </c>
      <c r="C909" s="7" t="str">
        <f t="shared" si="44"/>
        <v>男</v>
      </c>
      <c r="D909" s="7" t="str">
        <f>"41010619920322003X"</f>
        <v>41010619920322003X</v>
      </c>
      <c r="E909" s="8" t="str">
        <f>"10960193106"</f>
        <v>10960193106</v>
      </c>
      <c r="F909" s="7" t="str">
        <f t="shared" si="45"/>
        <v>31</v>
      </c>
      <c r="G909" s="7" t="str">
        <f>"06"</f>
        <v>06</v>
      </c>
      <c r="H909" s="7" t="s">
        <v>45</v>
      </c>
      <c r="I909" s="7" t="s">
        <v>14</v>
      </c>
      <c r="J909" s="9"/>
    </row>
    <row r="910" ht="14.25" spans="1:10">
      <c r="A910" s="7" t="s">
        <v>854</v>
      </c>
      <c r="B910" s="7" t="s">
        <v>922</v>
      </c>
      <c r="C910" s="7" t="str">
        <f t="shared" si="44"/>
        <v>女</v>
      </c>
      <c r="D910" s="7" t="str">
        <f>"340521199610296821"</f>
        <v>340521199610296821</v>
      </c>
      <c r="E910" s="8" t="str">
        <f>"10960193107"</f>
        <v>10960193107</v>
      </c>
      <c r="F910" s="7" t="str">
        <f t="shared" si="45"/>
        <v>31</v>
      </c>
      <c r="G910" s="7" t="str">
        <f>"07"</f>
        <v>07</v>
      </c>
      <c r="H910" s="7" t="s">
        <v>45</v>
      </c>
      <c r="I910" s="7">
        <v>66.9</v>
      </c>
      <c r="J910" s="9"/>
    </row>
    <row r="911" ht="14.25" spans="1:10">
      <c r="A911" s="7" t="s">
        <v>854</v>
      </c>
      <c r="B911" s="7" t="s">
        <v>923</v>
      </c>
      <c r="C911" s="7" t="str">
        <f t="shared" si="44"/>
        <v>女</v>
      </c>
      <c r="D911" s="7" t="str">
        <f>"411326199506080027"</f>
        <v>411326199506080027</v>
      </c>
      <c r="E911" s="8" t="str">
        <f>"10960193108"</f>
        <v>10960193108</v>
      </c>
      <c r="F911" s="7" t="str">
        <f t="shared" si="45"/>
        <v>31</v>
      </c>
      <c r="G911" s="7" t="str">
        <f>"08"</f>
        <v>08</v>
      </c>
      <c r="H911" s="7" t="s">
        <v>45</v>
      </c>
      <c r="I911" s="7" t="s">
        <v>14</v>
      </c>
      <c r="J911" s="9"/>
    </row>
    <row r="912" ht="14.25" spans="1:10">
      <c r="A912" s="7" t="s">
        <v>854</v>
      </c>
      <c r="B912" s="7" t="s">
        <v>924</v>
      </c>
      <c r="C912" s="7" t="str">
        <f t="shared" si="44"/>
        <v>女</v>
      </c>
      <c r="D912" s="7" t="str">
        <f>"411325199903212920"</f>
        <v>411325199903212920</v>
      </c>
      <c r="E912" s="8" t="str">
        <f>"10960193109"</f>
        <v>10960193109</v>
      </c>
      <c r="F912" s="7" t="str">
        <f t="shared" si="45"/>
        <v>31</v>
      </c>
      <c r="G912" s="7" t="str">
        <f>"09"</f>
        <v>09</v>
      </c>
      <c r="H912" s="7" t="s">
        <v>45</v>
      </c>
      <c r="I912" s="7" t="s">
        <v>14</v>
      </c>
      <c r="J912" s="9"/>
    </row>
    <row r="913" ht="14.25" spans="1:10">
      <c r="A913" s="7" t="s">
        <v>854</v>
      </c>
      <c r="B913" s="7" t="s">
        <v>925</v>
      </c>
      <c r="C913" s="7" t="str">
        <f t="shared" si="44"/>
        <v>男</v>
      </c>
      <c r="D913" s="7" t="str">
        <f>"410403199205215637"</f>
        <v>410403199205215637</v>
      </c>
      <c r="E913" s="8" t="str">
        <f>"10960193110"</f>
        <v>10960193110</v>
      </c>
      <c r="F913" s="7" t="str">
        <f t="shared" si="45"/>
        <v>31</v>
      </c>
      <c r="G913" s="7" t="str">
        <f>"10"</f>
        <v>10</v>
      </c>
      <c r="H913" s="7" t="s">
        <v>45</v>
      </c>
      <c r="I913" s="7">
        <v>68</v>
      </c>
      <c r="J913" s="9"/>
    </row>
    <row r="914" ht="14.25" spans="1:10">
      <c r="A914" s="7" t="s">
        <v>854</v>
      </c>
      <c r="B914" s="7" t="s">
        <v>926</v>
      </c>
      <c r="C914" s="7" t="str">
        <f t="shared" si="44"/>
        <v>女</v>
      </c>
      <c r="D914" s="7" t="str">
        <f>"411328199007110802"</f>
        <v>411328199007110802</v>
      </c>
      <c r="E914" s="8" t="str">
        <f>"10960193111"</f>
        <v>10960193111</v>
      </c>
      <c r="F914" s="7" t="str">
        <f t="shared" si="45"/>
        <v>31</v>
      </c>
      <c r="G914" s="7" t="str">
        <f>"11"</f>
        <v>11</v>
      </c>
      <c r="H914" s="7" t="s">
        <v>45</v>
      </c>
      <c r="I914" s="7" t="s">
        <v>14</v>
      </c>
      <c r="J914" s="9"/>
    </row>
    <row r="915" ht="14.25" spans="1:10">
      <c r="A915" s="7" t="s">
        <v>854</v>
      </c>
      <c r="B915" s="7" t="s">
        <v>927</v>
      </c>
      <c r="C915" s="7" t="str">
        <f t="shared" si="44"/>
        <v>女</v>
      </c>
      <c r="D915" s="7" t="str">
        <f>"411330199803031365"</f>
        <v>411330199803031365</v>
      </c>
      <c r="E915" s="8" t="str">
        <f>"10960193112"</f>
        <v>10960193112</v>
      </c>
      <c r="F915" s="7" t="str">
        <f t="shared" si="45"/>
        <v>31</v>
      </c>
      <c r="G915" s="7" t="str">
        <f>"12"</f>
        <v>12</v>
      </c>
      <c r="H915" s="7" t="s">
        <v>45</v>
      </c>
      <c r="I915" s="7" t="s">
        <v>14</v>
      </c>
      <c r="J915" s="9"/>
    </row>
    <row r="916" ht="14.25" spans="1:10">
      <c r="A916" s="7" t="s">
        <v>928</v>
      </c>
      <c r="B916" s="7" t="s">
        <v>929</v>
      </c>
      <c r="C916" s="7" t="str">
        <f t="shared" si="44"/>
        <v>女</v>
      </c>
      <c r="D916" s="7" t="str">
        <f>"411328199709250025"</f>
        <v>411328199709250025</v>
      </c>
      <c r="E916" s="8" t="str">
        <f>"10960213113"</f>
        <v>10960213113</v>
      </c>
      <c r="F916" s="7" t="str">
        <f t="shared" si="45"/>
        <v>31</v>
      </c>
      <c r="G916" s="7" t="str">
        <f>"13"</f>
        <v>13</v>
      </c>
      <c r="H916" s="7" t="s">
        <v>13</v>
      </c>
      <c r="I916" s="7" t="s">
        <v>14</v>
      </c>
      <c r="J916" s="9"/>
    </row>
    <row r="917" ht="14.25" spans="1:10">
      <c r="A917" s="7" t="s">
        <v>928</v>
      </c>
      <c r="B917" s="7" t="s">
        <v>930</v>
      </c>
      <c r="C917" s="7" t="str">
        <f t="shared" si="44"/>
        <v>女</v>
      </c>
      <c r="D917" s="7" t="str">
        <f>"411325199401016065"</f>
        <v>411325199401016065</v>
      </c>
      <c r="E917" s="8" t="str">
        <f>"10960213114"</f>
        <v>10960213114</v>
      </c>
      <c r="F917" s="7" t="str">
        <f t="shared" si="45"/>
        <v>31</v>
      </c>
      <c r="G917" s="7" t="str">
        <f>"14"</f>
        <v>14</v>
      </c>
      <c r="H917" s="7" t="s">
        <v>13</v>
      </c>
      <c r="I917" s="7" t="s">
        <v>14</v>
      </c>
      <c r="J917" s="9"/>
    </row>
    <row r="918" ht="14.25" spans="1:10">
      <c r="A918" s="7" t="s">
        <v>928</v>
      </c>
      <c r="B918" s="7" t="s">
        <v>931</v>
      </c>
      <c r="C918" s="7" t="str">
        <f t="shared" si="44"/>
        <v>女</v>
      </c>
      <c r="D918" s="7" t="str">
        <f>"411325199811180722"</f>
        <v>411325199811180722</v>
      </c>
      <c r="E918" s="8" t="str">
        <f>"10960213115"</f>
        <v>10960213115</v>
      </c>
      <c r="F918" s="7" t="str">
        <f t="shared" si="45"/>
        <v>31</v>
      </c>
      <c r="G918" s="7" t="str">
        <f>"15"</f>
        <v>15</v>
      </c>
      <c r="H918" s="7" t="s">
        <v>13</v>
      </c>
      <c r="I918" s="7" t="s">
        <v>14</v>
      </c>
      <c r="J918" s="9"/>
    </row>
    <row r="919" ht="14.25" spans="1:10">
      <c r="A919" s="7" t="s">
        <v>928</v>
      </c>
      <c r="B919" s="7" t="s">
        <v>932</v>
      </c>
      <c r="C919" s="7" t="str">
        <f t="shared" si="44"/>
        <v>女</v>
      </c>
      <c r="D919" s="7" t="str">
        <f>"411325199611047820"</f>
        <v>411325199611047820</v>
      </c>
      <c r="E919" s="8" t="str">
        <f>"10960213116"</f>
        <v>10960213116</v>
      </c>
      <c r="F919" s="7" t="str">
        <f t="shared" si="45"/>
        <v>31</v>
      </c>
      <c r="G919" s="7" t="str">
        <f>"16"</f>
        <v>16</v>
      </c>
      <c r="H919" s="7" t="s">
        <v>13</v>
      </c>
      <c r="I919" s="7" t="s">
        <v>14</v>
      </c>
      <c r="J919" s="9"/>
    </row>
    <row r="920" ht="14.25" spans="1:10">
      <c r="A920" s="7" t="s">
        <v>928</v>
      </c>
      <c r="B920" s="7" t="s">
        <v>933</v>
      </c>
      <c r="C920" s="7" t="str">
        <f t="shared" si="44"/>
        <v>女</v>
      </c>
      <c r="D920" s="7" t="str">
        <f>"411322199807133860"</f>
        <v>411322199807133860</v>
      </c>
      <c r="E920" s="8" t="str">
        <f>"10960213117"</f>
        <v>10960213117</v>
      </c>
      <c r="F920" s="7" t="str">
        <f t="shared" si="45"/>
        <v>31</v>
      </c>
      <c r="G920" s="7" t="str">
        <f>"17"</f>
        <v>17</v>
      </c>
      <c r="H920" s="7" t="s">
        <v>13</v>
      </c>
      <c r="I920" s="7">
        <v>72.5</v>
      </c>
      <c r="J920" s="9"/>
    </row>
    <row r="921" ht="14.25" spans="1:10">
      <c r="A921" s="7" t="s">
        <v>928</v>
      </c>
      <c r="B921" s="7" t="s">
        <v>934</v>
      </c>
      <c r="C921" s="7" t="str">
        <f t="shared" si="44"/>
        <v>女</v>
      </c>
      <c r="D921" s="7" t="str">
        <f>"411325199608283523"</f>
        <v>411325199608283523</v>
      </c>
      <c r="E921" s="8" t="str">
        <f>"10960213118"</f>
        <v>10960213118</v>
      </c>
      <c r="F921" s="7" t="str">
        <f t="shared" si="45"/>
        <v>31</v>
      </c>
      <c r="G921" s="7" t="str">
        <f>"18"</f>
        <v>18</v>
      </c>
      <c r="H921" s="7" t="s">
        <v>13</v>
      </c>
      <c r="I921" s="7">
        <v>50</v>
      </c>
      <c r="J921" s="9"/>
    </row>
    <row r="922" ht="14.25" spans="1:10">
      <c r="A922" s="7" t="s">
        <v>928</v>
      </c>
      <c r="B922" s="7" t="s">
        <v>935</v>
      </c>
      <c r="C922" s="7" t="str">
        <f t="shared" si="44"/>
        <v>男</v>
      </c>
      <c r="D922" s="7" t="str">
        <f>"411302199511280014"</f>
        <v>411302199511280014</v>
      </c>
      <c r="E922" s="8" t="str">
        <f>"10960213119"</f>
        <v>10960213119</v>
      </c>
      <c r="F922" s="7" t="str">
        <f t="shared" si="45"/>
        <v>31</v>
      </c>
      <c r="G922" s="7" t="str">
        <f>"19"</f>
        <v>19</v>
      </c>
      <c r="H922" s="7" t="s">
        <v>13</v>
      </c>
      <c r="I922" s="7">
        <v>72.6</v>
      </c>
      <c r="J922" s="9"/>
    </row>
    <row r="923" ht="14.25" spans="1:10">
      <c r="A923" s="7" t="s">
        <v>928</v>
      </c>
      <c r="B923" s="7" t="s">
        <v>936</v>
      </c>
      <c r="C923" s="7" t="str">
        <f t="shared" si="44"/>
        <v>女</v>
      </c>
      <c r="D923" s="7" t="str">
        <f>"41130219980423082X"</f>
        <v>41130219980423082X</v>
      </c>
      <c r="E923" s="8" t="str">
        <f>"10960213120"</f>
        <v>10960213120</v>
      </c>
      <c r="F923" s="7" t="str">
        <f t="shared" si="45"/>
        <v>31</v>
      </c>
      <c r="G923" s="7" t="str">
        <f>"20"</f>
        <v>20</v>
      </c>
      <c r="H923" s="7" t="s">
        <v>13</v>
      </c>
      <c r="I923" s="7">
        <v>58</v>
      </c>
      <c r="J923" s="9"/>
    </row>
    <row r="924" ht="14.25" spans="1:10">
      <c r="A924" s="7" t="s">
        <v>928</v>
      </c>
      <c r="B924" s="7" t="s">
        <v>937</v>
      </c>
      <c r="C924" s="7" t="str">
        <f t="shared" si="44"/>
        <v>女</v>
      </c>
      <c r="D924" s="7" t="str">
        <f>"411325199702156520"</f>
        <v>411325199702156520</v>
      </c>
      <c r="E924" s="8" t="str">
        <f>"10960213121"</f>
        <v>10960213121</v>
      </c>
      <c r="F924" s="7" t="str">
        <f t="shared" si="45"/>
        <v>31</v>
      </c>
      <c r="G924" s="7" t="str">
        <f>"21"</f>
        <v>21</v>
      </c>
      <c r="H924" s="7" t="s">
        <v>13</v>
      </c>
      <c r="I924" s="7">
        <v>64.7</v>
      </c>
      <c r="J924" s="9"/>
    </row>
    <row r="925" ht="14.25" spans="1:10">
      <c r="A925" s="7" t="s">
        <v>928</v>
      </c>
      <c r="B925" s="7" t="s">
        <v>938</v>
      </c>
      <c r="C925" s="7" t="str">
        <f t="shared" si="44"/>
        <v>女</v>
      </c>
      <c r="D925" s="7" t="str">
        <f>"411323199809190048"</f>
        <v>411323199809190048</v>
      </c>
      <c r="E925" s="8" t="str">
        <f>"10960213122"</f>
        <v>10960213122</v>
      </c>
      <c r="F925" s="7" t="str">
        <f t="shared" si="45"/>
        <v>31</v>
      </c>
      <c r="G925" s="7" t="str">
        <f>"22"</f>
        <v>22</v>
      </c>
      <c r="H925" s="7" t="s">
        <v>13</v>
      </c>
      <c r="I925" s="7" t="s">
        <v>14</v>
      </c>
      <c r="J925" s="9"/>
    </row>
    <row r="926" ht="14.25" spans="1:10">
      <c r="A926" s="7" t="s">
        <v>928</v>
      </c>
      <c r="B926" s="7" t="s">
        <v>939</v>
      </c>
      <c r="C926" s="7" t="str">
        <f t="shared" si="44"/>
        <v>男</v>
      </c>
      <c r="D926" s="7" t="str">
        <f>"411325199201105039"</f>
        <v>411325199201105039</v>
      </c>
      <c r="E926" s="8" t="str">
        <f>"10960213123"</f>
        <v>10960213123</v>
      </c>
      <c r="F926" s="7" t="str">
        <f t="shared" si="45"/>
        <v>31</v>
      </c>
      <c r="G926" s="7" t="str">
        <f>"23"</f>
        <v>23</v>
      </c>
      <c r="H926" s="7" t="s">
        <v>45</v>
      </c>
      <c r="I926" s="7" t="s">
        <v>14</v>
      </c>
      <c r="J926" s="9"/>
    </row>
    <row r="927" ht="14.25" spans="1:10">
      <c r="A927" s="7" t="s">
        <v>928</v>
      </c>
      <c r="B927" s="7" t="s">
        <v>940</v>
      </c>
      <c r="C927" s="7" t="str">
        <f t="shared" si="44"/>
        <v>男</v>
      </c>
      <c r="D927" s="7" t="str">
        <f>"411381199609157116"</f>
        <v>411381199609157116</v>
      </c>
      <c r="E927" s="8" t="str">
        <f>"10960213124"</f>
        <v>10960213124</v>
      </c>
      <c r="F927" s="7" t="str">
        <f t="shared" si="45"/>
        <v>31</v>
      </c>
      <c r="G927" s="7" t="str">
        <f>"24"</f>
        <v>24</v>
      </c>
      <c r="H927" s="7" t="s">
        <v>45</v>
      </c>
      <c r="I927" s="7" t="s">
        <v>14</v>
      </c>
      <c r="J927" s="9"/>
    </row>
    <row r="928" ht="14.25" spans="1:10">
      <c r="A928" s="7" t="s">
        <v>928</v>
      </c>
      <c r="B928" s="7" t="s">
        <v>941</v>
      </c>
      <c r="C928" s="7" t="str">
        <f t="shared" si="44"/>
        <v>男</v>
      </c>
      <c r="D928" s="7" t="str">
        <f>"410303199804052010"</f>
        <v>410303199804052010</v>
      </c>
      <c r="E928" s="8" t="str">
        <f>"10960213125"</f>
        <v>10960213125</v>
      </c>
      <c r="F928" s="7" t="str">
        <f t="shared" si="45"/>
        <v>31</v>
      </c>
      <c r="G928" s="7" t="str">
        <f>"25"</f>
        <v>25</v>
      </c>
      <c r="H928" s="7" t="s">
        <v>45</v>
      </c>
      <c r="I928" s="7" t="s">
        <v>14</v>
      </c>
      <c r="J928" s="9"/>
    </row>
    <row r="929" ht="14.25" spans="1:10">
      <c r="A929" s="7" t="s">
        <v>928</v>
      </c>
      <c r="B929" s="7" t="s">
        <v>942</v>
      </c>
      <c r="C929" s="7" t="str">
        <f t="shared" si="44"/>
        <v>男</v>
      </c>
      <c r="D929" s="7" t="str">
        <f>"411325199709180419"</f>
        <v>411325199709180419</v>
      </c>
      <c r="E929" s="8" t="str">
        <f>"10960213126"</f>
        <v>10960213126</v>
      </c>
      <c r="F929" s="7" t="str">
        <f t="shared" si="45"/>
        <v>31</v>
      </c>
      <c r="G929" s="7" t="str">
        <f>"26"</f>
        <v>26</v>
      </c>
      <c r="H929" s="7" t="s">
        <v>45</v>
      </c>
      <c r="I929" s="7">
        <v>53.3</v>
      </c>
      <c r="J929" s="9"/>
    </row>
    <row r="930" ht="14.25" spans="1:10">
      <c r="A930" s="7" t="s">
        <v>928</v>
      </c>
      <c r="B930" s="7" t="s">
        <v>943</v>
      </c>
      <c r="C930" s="7" t="str">
        <f t="shared" si="44"/>
        <v>女</v>
      </c>
      <c r="D930" s="7" t="str">
        <f>"411321199605202323"</f>
        <v>411321199605202323</v>
      </c>
      <c r="E930" s="8" t="str">
        <f>"10960213127"</f>
        <v>10960213127</v>
      </c>
      <c r="F930" s="7" t="str">
        <f t="shared" si="45"/>
        <v>31</v>
      </c>
      <c r="G930" s="7" t="str">
        <f>"27"</f>
        <v>27</v>
      </c>
      <c r="H930" s="7" t="s">
        <v>45</v>
      </c>
      <c r="I930" s="7" t="s">
        <v>14</v>
      </c>
      <c r="J930" s="9"/>
    </row>
    <row r="931" ht="14.25" spans="1:10">
      <c r="A931" s="7" t="s">
        <v>928</v>
      </c>
      <c r="B931" s="7" t="s">
        <v>944</v>
      </c>
      <c r="C931" s="7" t="str">
        <f t="shared" si="44"/>
        <v>女</v>
      </c>
      <c r="D931" s="7" t="str">
        <f>"411325199701239025"</f>
        <v>411325199701239025</v>
      </c>
      <c r="E931" s="8" t="str">
        <f>"10960213128"</f>
        <v>10960213128</v>
      </c>
      <c r="F931" s="7" t="str">
        <f t="shared" si="45"/>
        <v>31</v>
      </c>
      <c r="G931" s="7" t="str">
        <f>"28"</f>
        <v>28</v>
      </c>
      <c r="H931" s="7" t="s">
        <v>45</v>
      </c>
      <c r="I931" s="7" t="s">
        <v>14</v>
      </c>
      <c r="J931" s="9"/>
    </row>
    <row r="932" ht="14.25" spans="1:10">
      <c r="A932" s="7" t="s">
        <v>928</v>
      </c>
      <c r="B932" s="7" t="s">
        <v>124</v>
      </c>
      <c r="C932" s="7" t="str">
        <f t="shared" si="44"/>
        <v>女</v>
      </c>
      <c r="D932" s="7" t="str">
        <f>"412822199703115885"</f>
        <v>412822199703115885</v>
      </c>
      <c r="E932" s="8" t="str">
        <f>"10960213129"</f>
        <v>10960213129</v>
      </c>
      <c r="F932" s="7" t="str">
        <f t="shared" si="45"/>
        <v>31</v>
      </c>
      <c r="G932" s="7" t="str">
        <f>"29"</f>
        <v>29</v>
      </c>
      <c r="H932" s="7" t="s">
        <v>45</v>
      </c>
      <c r="I932" s="7" t="s">
        <v>14</v>
      </c>
      <c r="J932" s="9"/>
    </row>
    <row r="933" ht="14.25" spans="1:10">
      <c r="A933" s="7" t="s">
        <v>928</v>
      </c>
      <c r="B933" s="7" t="s">
        <v>945</v>
      </c>
      <c r="C933" s="7" t="str">
        <f t="shared" si="44"/>
        <v>女</v>
      </c>
      <c r="D933" s="7" t="str">
        <f>"411325199606072327"</f>
        <v>411325199606072327</v>
      </c>
      <c r="E933" s="8" t="str">
        <f>"10960213130"</f>
        <v>10960213130</v>
      </c>
      <c r="F933" s="7" t="str">
        <f t="shared" si="45"/>
        <v>31</v>
      </c>
      <c r="G933" s="7" t="str">
        <f>"30"</f>
        <v>30</v>
      </c>
      <c r="H933" s="7" t="s">
        <v>45</v>
      </c>
      <c r="I933" s="7" t="s">
        <v>14</v>
      </c>
      <c r="J933" s="9"/>
    </row>
    <row r="934" ht="14.25" spans="1:10">
      <c r="A934" s="7" t="s">
        <v>928</v>
      </c>
      <c r="B934" s="7" t="s">
        <v>946</v>
      </c>
      <c r="C934" s="7" t="str">
        <f t="shared" si="44"/>
        <v>女</v>
      </c>
      <c r="D934" s="7" t="str">
        <f>"411325199711200423"</f>
        <v>411325199711200423</v>
      </c>
      <c r="E934" s="8" t="str">
        <f>"10960213201"</f>
        <v>10960213201</v>
      </c>
      <c r="F934" s="7" t="str">
        <f t="shared" ref="F934:F963" si="46">"32"</f>
        <v>32</v>
      </c>
      <c r="G934" s="7" t="str">
        <f>"01"</f>
        <v>01</v>
      </c>
      <c r="H934" s="7" t="s">
        <v>45</v>
      </c>
      <c r="I934" s="7">
        <v>56.2</v>
      </c>
      <c r="J934" s="9"/>
    </row>
    <row r="935" ht="14.25" spans="1:10">
      <c r="A935" s="7" t="s">
        <v>928</v>
      </c>
      <c r="B935" s="7" t="s">
        <v>947</v>
      </c>
      <c r="C935" s="7" t="str">
        <f t="shared" si="44"/>
        <v>女</v>
      </c>
      <c r="D935" s="7" t="str">
        <f>"410425199705043526"</f>
        <v>410425199705043526</v>
      </c>
      <c r="E935" s="8" t="str">
        <f>"10960213202"</f>
        <v>10960213202</v>
      </c>
      <c r="F935" s="7" t="str">
        <f t="shared" si="46"/>
        <v>32</v>
      </c>
      <c r="G935" s="7" t="str">
        <f>"02"</f>
        <v>02</v>
      </c>
      <c r="H935" s="7" t="s">
        <v>45</v>
      </c>
      <c r="I935" s="7" t="s">
        <v>14</v>
      </c>
      <c r="J935" s="9"/>
    </row>
    <row r="936" ht="14.25" spans="1:10">
      <c r="A936" s="7" t="s">
        <v>928</v>
      </c>
      <c r="B936" s="7" t="s">
        <v>948</v>
      </c>
      <c r="C936" s="7" t="str">
        <f t="shared" si="44"/>
        <v>女</v>
      </c>
      <c r="D936" s="7" t="str">
        <f>"320721199004024022"</f>
        <v>320721199004024022</v>
      </c>
      <c r="E936" s="8" t="str">
        <f>"10960213203"</f>
        <v>10960213203</v>
      </c>
      <c r="F936" s="7" t="str">
        <f t="shared" si="46"/>
        <v>32</v>
      </c>
      <c r="G936" s="7" t="str">
        <f>"03"</f>
        <v>03</v>
      </c>
      <c r="H936" s="7" t="s">
        <v>45</v>
      </c>
      <c r="I936" s="7" t="s">
        <v>14</v>
      </c>
      <c r="J936" s="9"/>
    </row>
    <row r="937" ht="14.25" spans="1:10">
      <c r="A937" s="7" t="s">
        <v>928</v>
      </c>
      <c r="B937" s="7" t="s">
        <v>949</v>
      </c>
      <c r="C937" s="7" t="str">
        <f t="shared" si="44"/>
        <v>男</v>
      </c>
      <c r="D937" s="7" t="str">
        <f>"41052119900120503X"</f>
        <v>41052119900120503X</v>
      </c>
      <c r="E937" s="8" t="str">
        <f>"10960213204"</f>
        <v>10960213204</v>
      </c>
      <c r="F937" s="7" t="str">
        <f t="shared" si="46"/>
        <v>32</v>
      </c>
      <c r="G937" s="7" t="str">
        <f>"04"</f>
        <v>04</v>
      </c>
      <c r="H937" s="7" t="s">
        <v>45</v>
      </c>
      <c r="I937" s="7" t="s">
        <v>14</v>
      </c>
      <c r="J937" s="9"/>
    </row>
    <row r="938" ht="14.25" spans="1:10">
      <c r="A938" s="7" t="s">
        <v>928</v>
      </c>
      <c r="B938" s="7" t="s">
        <v>950</v>
      </c>
      <c r="C938" s="7" t="str">
        <f t="shared" si="44"/>
        <v>女</v>
      </c>
      <c r="D938" s="7" t="str">
        <f>"411321199802270923"</f>
        <v>411321199802270923</v>
      </c>
      <c r="E938" s="8" t="str">
        <f>"10960213205"</f>
        <v>10960213205</v>
      </c>
      <c r="F938" s="7" t="str">
        <f t="shared" si="46"/>
        <v>32</v>
      </c>
      <c r="G938" s="7" t="str">
        <f>"05"</f>
        <v>05</v>
      </c>
      <c r="H938" s="7" t="s">
        <v>45</v>
      </c>
      <c r="I938" s="7" t="s">
        <v>14</v>
      </c>
      <c r="J938" s="9"/>
    </row>
    <row r="939" ht="14.25" spans="1:10">
      <c r="A939" s="7" t="s">
        <v>928</v>
      </c>
      <c r="B939" s="7" t="s">
        <v>951</v>
      </c>
      <c r="C939" s="7" t="str">
        <f t="shared" si="44"/>
        <v>女</v>
      </c>
      <c r="D939" s="7" t="str">
        <f>"411503199408083028"</f>
        <v>411503199408083028</v>
      </c>
      <c r="E939" s="8" t="str">
        <f>"10960213206"</f>
        <v>10960213206</v>
      </c>
      <c r="F939" s="7" t="str">
        <f t="shared" si="46"/>
        <v>32</v>
      </c>
      <c r="G939" s="7" t="str">
        <f>"06"</f>
        <v>06</v>
      </c>
      <c r="H939" s="7" t="s">
        <v>45</v>
      </c>
      <c r="I939" s="7">
        <v>63.2</v>
      </c>
      <c r="J939" s="9"/>
    </row>
    <row r="940" ht="14.25" spans="1:10">
      <c r="A940" s="7" t="s">
        <v>952</v>
      </c>
      <c r="B940" s="7" t="s">
        <v>953</v>
      </c>
      <c r="C940" s="7" t="str">
        <f t="shared" si="44"/>
        <v>女</v>
      </c>
      <c r="D940" s="7" t="str">
        <f>"469003199708035641"</f>
        <v>469003199708035641</v>
      </c>
      <c r="E940" s="8" t="str">
        <f>"10960223207"</f>
        <v>10960223207</v>
      </c>
      <c r="F940" s="7" t="str">
        <f t="shared" si="46"/>
        <v>32</v>
      </c>
      <c r="G940" s="7" t="str">
        <f>"07"</f>
        <v>07</v>
      </c>
      <c r="H940" s="7" t="s">
        <v>13</v>
      </c>
      <c r="I940" s="7">
        <v>74.2</v>
      </c>
      <c r="J940" s="9"/>
    </row>
    <row r="941" ht="14.25" spans="1:10">
      <c r="A941" s="7" t="s">
        <v>952</v>
      </c>
      <c r="B941" s="7" t="s">
        <v>954</v>
      </c>
      <c r="C941" s="7" t="str">
        <f t="shared" si="44"/>
        <v>男</v>
      </c>
      <c r="D941" s="7" t="str">
        <f>"411323199709251114"</f>
        <v>411323199709251114</v>
      </c>
      <c r="E941" s="8" t="str">
        <f>"10960223208"</f>
        <v>10960223208</v>
      </c>
      <c r="F941" s="7" t="str">
        <f t="shared" si="46"/>
        <v>32</v>
      </c>
      <c r="G941" s="7" t="str">
        <f>"08"</f>
        <v>08</v>
      </c>
      <c r="H941" s="7" t="s">
        <v>13</v>
      </c>
      <c r="I941" s="7" t="s">
        <v>14</v>
      </c>
      <c r="J941" s="9"/>
    </row>
    <row r="942" ht="14.25" spans="1:10">
      <c r="A942" s="7" t="s">
        <v>952</v>
      </c>
      <c r="B942" s="7" t="s">
        <v>955</v>
      </c>
      <c r="C942" s="7" t="str">
        <f t="shared" si="44"/>
        <v>女</v>
      </c>
      <c r="D942" s="7" t="str">
        <f>"412822199608102007"</f>
        <v>412822199608102007</v>
      </c>
      <c r="E942" s="8" t="str">
        <f>"10960223209"</f>
        <v>10960223209</v>
      </c>
      <c r="F942" s="7" t="str">
        <f t="shared" si="46"/>
        <v>32</v>
      </c>
      <c r="G942" s="7" t="str">
        <f>"09"</f>
        <v>09</v>
      </c>
      <c r="H942" s="7" t="s">
        <v>13</v>
      </c>
      <c r="I942" s="7" t="s">
        <v>14</v>
      </c>
      <c r="J942" s="9"/>
    </row>
    <row r="943" ht="14.25" spans="1:10">
      <c r="A943" s="7" t="s">
        <v>956</v>
      </c>
      <c r="B943" s="7" t="s">
        <v>957</v>
      </c>
      <c r="C943" s="7" t="str">
        <f t="shared" si="44"/>
        <v>男</v>
      </c>
      <c r="D943" s="7" t="str">
        <f>"411328199501282976"</f>
        <v>411328199501282976</v>
      </c>
      <c r="E943" s="8" t="str">
        <f>"10960233210"</f>
        <v>10960233210</v>
      </c>
      <c r="F943" s="7" t="str">
        <f t="shared" si="46"/>
        <v>32</v>
      </c>
      <c r="G943" s="7" t="str">
        <f>"10"</f>
        <v>10</v>
      </c>
      <c r="H943" s="7" t="s">
        <v>13</v>
      </c>
      <c r="I943" s="7" t="s">
        <v>14</v>
      </c>
      <c r="J943" s="9"/>
    </row>
    <row r="944" ht="14.25" spans="1:10">
      <c r="A944" s="7" t="s">
        <v>956</v>
      </c>
      <c r="B944" s="7" t="s">
        <v>958</v>
      </c>
      <c r="C944" s="7" t="str">
        <f t="shared" si="44"/>
        <v>男</v>
      </c>
      <c r="D944" s="7" t="str">
        <f>"411325199307180010"</f>
        <v>411325199307180010</v>
      </c>
      <c r="E944" s="8" t="str">
        <f>"10960233211"</f>
        <v>10960233211</v>
      </c>
      <c r="F944" s="7" t="str">
        <f t="shared" si="46"/>
        <v>32</v>
      </c>
      <c r="G944" s="7" t="str">
        <f>"11"</f>
        <v>11</v>
      </c>
      <c r="H944" s="7" t="s">
        <v>13</v>
      </c>
      <c r="I944" s="7">
        <v>70.2</v>
      </c>
      <c r="J944" s="9"/>
    </row>
    <row r="945" ht="14.25" spans="1:10">
      <c r="A945" s="7" t="s">
        <v>956</v>
      </c>
      <c r="B945" s="7" t="s">
        <v>959</v>
      </c>
      <c r="C945" s="7" t="str">
        <f t="shared" si="44"/>
        <v>女</v>
      </c>
      <c r="D945" s="7" t="str">
        <f>"411302199410240849"</f>
        <v>411302199410240849</v>
      </c>
      <c r="E945" s="8" t="str">
        <f>"10960233212"</f>
        <v>10960233212</v>
      </c>
      <c r="F945" s="7" t="str">
        <f t="shared" si="46"/>
        <v>32</v>
      </c>
      <c r="G945" s="7" t="str">
        <f>"12"</f>
        <v>12</v>
      </c>
      <c r="H945" s="7" t="s">
        <v>13</v>
      </c>
      <c r="I945" s="7">
        <v>72.2</v>
      </c>
      <c r="J945" s="9"/>
    </row>
    <row r="946" ht="14.25" spans="1:10">
      <c r="A946" s="7" t="s">
        <v>956</v>
      </c>
      <c r="B946" s="7" t="s">
        <v>960</v>
      </c>
      <c r="C946" s="7" t="str">
        <f t="shared" si="44"/>
        <v>男</v>
      </c>
      <c r="D946" s="7" t="str">
        <f>"411328199206291933"</f>
        <v>411328199206291933</v>
      </c>
      <c r="E946" s="8" t="str">
        <f>"10960233213"</f>
        <v>10960233213</v>
      </c>
      <c r="F946" s="7" t="str">
        <f t="shared" si="46"/>
        <v>32</v>
      </c>
      <c r="G946" s="7" t="str">
        <f>"13"</f>
        <v>13</v>
      </c>
      <c r="H946" s="7" t="s">
        <v>13</v>
      </c>
      <c r="I946" s="7">
        <v>58.4</v>
      </c>
      <c r="J946" s="9"/>
    </row>
    <row r="947" ht="14.25" spans="1:10">
      <c r="A947" s="7" t="s">
        <v>956</v>
      </c>
      <c r="B947" s="7" t="s">
        <v>961</v>
      </c>
      <c r="C947" s="7" t="str">
        <f t="shared" si="44"/>
        <v>男</v>
      </c>
      <c r="D947" s="7" t="str">
        <f>"411302199508255539"</f>
        <v>411302199508255539</v>
      </c>
      <c r="E947" s="8" t="str">
        <f>"10960233214"</f>
        <v>10960233214</v>
      </c>
      <c r="F947" s="7" t="str">
        <f t="shared" si="46"/>
        <v>32</v>
      </c>
      <c r="G947" s="7" t="str">
        <f>"14"</f>
        <v>14</v>
      </c>
      <c r="H947" s="7" t="s">
        <v>13</v>
      </c>
      <c r="I947" s="7">
        <v>62.8</v>
      </c>
      <c r="J947" s="9"/>
    </row>
    <row r="948" ht="14.25" spans="1:10">
      <c r="A948" s="7" t="s">
        <v>956</v>
      </c>
      <c r="B948" s="7" t="s">
        <v>962</v>
      </c>
      <c r="C948" s="7" t="str">
        <f t="shared" si="44"/>
        <v>男</v>
      </c>
      <c r="D948" s="7" t="str">
        <f>"411325199602284111"</f>
        <v>411325199602284111</v>
      </c>
      <c r="E948" s="8" t="str">
        <f>"10960233215"</f>
        <v>10960233215</v>
      </c>
      <c r="F948" s="7" t="str">
        <f t="shared" si="46"/>
        <v>32</v>
      </c>
      <c r="G948" s="7" t="str">
        <f>"15"</f>
        <v>15</v>
      </c>
      <c r="H948" s="7" t="s">
        <v>13</v>
      </c>
      <c r="I948" s="7">
        <v>52.8</v>
      </c>
      <c r="J948" s="9"/>
    </row>
    <row r="949" ht="14.25" spans="1:10">
      <c r="A949" s="7" t="s">
        <v>956</v>
      </c>
      <c r="B949" s="7" t="s">
        <v>963</v>
      </c>
      <c r="C949" s="7" t="str">
        <f t="shared" si="44"/>
        <v>男</v>
      </c>
      <c r="D949" s="7" t="str">
        <f>"411325199110157490"</f>
        <v>411325199110157490</v>
      </c>
      <c r="E949" s="8" t="str">
        <f>"10960233216"</f>
        <v>10960233216</v>
      </c>
      <c r="F949" s="7" t="str">
        <f t="shared" si="46"/>
        <v>32</v>
      </c>
      <c r="G949" s="7" t="str">
        <f>"16"</f>
        <v>16</v>
      </c>
      <c r="H949" s="7" t="s">
        <v>13</v>
      </c>
      <c r="I949" s="7" t="s">
        <v>14</v>
      </c>
      <c r="J949" s="9"/>
    </row>
    <row r="950" ht="14.25" spans="1:10">
      <c r="A950" s="7" t="s">
        <v>956</v>
      </c>
      <c r="B950" s="7" t="s">
        <v>964</v>
      </c>
      <c r="C950" s="7" t="str">
        <f t="shared" si="44"/>
        <v>女</v>
      </c>
      <c r="D950" s="7" t="str">
        <f>"411302199409151320"</f>
        <v>411302199409151320</v>
      </c>
      <c r="E950" s="8" t="str">
        <f>"10960233217"</f>
        <v>10960233217</v>
      </c>
      <c r="F950" s="7" t="str">
        <f t="shared" si="46"/>
        <v>32</v>
      </c>
      <c r="G950" s="7" t="str">
        <f>"17"</f>
        <v>17</v>
      </c>
      <c r="H950" s="7" t="s">
        <v>13</v>
      </c>
      <c r="I950" s="7" t="s">
        <v>14</v>
      </c>
      <c r="J950" s="9"/>
    </row>
    <row r="951" ht="14.25" spans="1:10">
      <c r="A951" s="7" t="s">
        <v>956</v>
      </c>
      <c r="B951" s="7" t="s">
        <v>965</v>
      </c>
      <c r="C951" s="7" t="str">
        <f t="shared" si="44"/>
        <v>女</v>
      </c>
      <c r="D951" s="7" t="str">
        <f>"411325199007220447"</f>
        <v>411325199007220447</v>
      </c>
      <c r="E951" s="8" t="str">
        <f>"10960233218"</f>
        <v>10960233218</v>
      </c>
      <c r="F951" s="7" t="str">
        <f t="shared" si="46"/>
        <v>32</v>
      </c>
      <c r="G951" s="7" t="str">
        <f>"18"</f>
        <v>18</v>
      </c>
      <c r="H951" s="7" t="s">
        <v>13</v>
      </c>
      <c r="I951" s="7">
        <v>59.4</v>
      </c>
      <c r="J951" s="9"/>
    </row>
    <row r="952" ht="14.25" spans="1:10">
      <c r="A952" s="7" t="s">
        <v>956</v>
      </c>
      <c r="B952" s="7" t="s">
        <v>966</v>
      </c>
      <c r="C952" s="7" t="str">
        <f t="shared" si="44"/>
        <v>男</v>
      </c>
      <c r="D952" s="7" t="str">
        <f>"411325199711030719"</f>
        <v>411325199711030719</v>
      </c>
      <c r="E952" s="8" t="str">
        <f>"10960233219"</f>
        <v>10960233219</v>
      </c>
      <c r="F952" s="7" t="str">
        <f t="shared" si="46"/>
        <v>32</v>
      </c>
      <c r="G952" s="7" t="str">
        <f>"19"</f>
        <v>19</v>
      </c>
      <c r="H952" s="7" t="s">
        <v>13</v>
      </c>
      <c r="I952" s="7">
        <v>64.7</v>
      </c>
      <c r="J952" s="9"/>
    </row>
    <row r="953" ht="14.25" spans="1:10">
      <c r="A953" s="7" t="s">
        <v>956</v>
      </c>
      <c r="B953" s="7" t="s">
        <v>967</v>
      </c>
      <c r="C953" s="7" t="str">
        <f t="shared" si="44"/>
        <v>女</v>
      </c>
      <c r="D953" s="7" t="str">
        <f>"411325199710084125"</f>
        <v>411325199710084125</v>
      </c>
      <c r="E953" s="8" t="str">
        <f>"10960233220"</f>
        <v>10960233220</v>
      </c>
      <c r="F953" s="7" t="str">
        <f t="shared" si="46"/>
        <v>32</v>
      </c>
      <c r="G953" s="7" t="str">
        <f>"20"</f>
        <v>20</v>
      </c>
      <c r="H953" s="7" t="s">
        <v>13</v>
      </c>
      <c r="I953" s="7">
        <v>70.4</v>
      </c>
      <c r="J953" s="9"/>
    </row>
    <row r="954" ht="14.25" spans="1:10">
      <c r="A954" s="7" t="s">
        <v>956</v>
      </c>
      <c r="B954" s="7" t="s">
        <v>968</v>
      </c>
      <c r="C954" s="7" t="str">
        <f t="shared" si="44"/>
        <v>男</v>
      </c>
      <c r="D954" s="7" t="str">
        <f>"411325199707070013"</f>
        <v>411325199707070013</v>
      </c>
      <c r="E954" s="8" t="str">
        <f>"10960233221"</f>
        <v>10960233221</v>
      </c>
      <c r="F954" s="7" t="str">
        <f t="shared" si="46"/>
        <v>32</v>
      </c>
      <c r="G954" s="7" t="str">
        <f>"21"</f>
        <v>21</v>
      </c>
      <c r="H954" s="7" t="s">
        <v>13</v>
      </c>
      <c r="I954" s="7">
        <v>62.8</v>
      </c>
      <c r="J954" s="9"/>
    </row>
    <row r="955" ht="14.25" spans="1:10">
      <c r="A955" s="7" t="s">
        <v>956</v>
      </c>
      <c r="B955" s="7" t="s">
        <v>969</v>
      </c>
      <c r="C955" s="7" t="str">
        <f t="shared" si="44"/>
        <v>女</v>
      </c>
      <c r="D955" s="7" t="str">
        <f>"411302199704163762"</f>
        <v>411302199704163762</v>
      </c>
      <c r="E955" s="8" t="str">
        <f>"10960233222"</f>
        <v>10960233222</v>
      </c>
      <c r="F955" s="7" t="str">
        <f t="shared" si="46"/>
        <v>32</v>
      </c>
      <c r="G955" s="7" t="str">
        <f>"22"</f>
        <v>22</v>
      </c>
      <c r="H955" s="7" t="s">
        <v>13</v>
      </c>
      <c r="I955" s="7" t="s">
        <v>14</v>
      </c>
      <c r="J955" s="9"/>
    </row>
    <row r="956" ht="14.25" spans="1:10">
      <c r="A956" s="7" t="s">
        <v>956</v>
      </c>
      <c r="B956" s="7" t="s">
        <v>970</v>
      </c>
      <c r="C956" s="7" t="str">
        <f t="shared" si="44"/>
        <v>女</v>
      </c>
      <c r="D956" s="7" t="str">
        <f>"411328199611260022"</f>
        <v>411328199611260022</v>
      </c>
      <c r="E956" s="8" t="str">
        <f>"10960233223"</f>
        <v>10960233223</v>
      </c>
      <c r="F956" s="7" t="str">
        <f t="shared" si="46"/>
        <v>32</v>
      </c>
      <c r="G956" s="7" t="str">
        <f>"23"</f>
        <v>23</v>
      </c>
      <c r="H956" s="7" t="s">
        <v>13</v>
      </c>
      <c r="I956" s="7">
        <v>65.6</v>
      </c>
      <c r="J956" s="9"/>
    </row>
    <row r="957" ht="14.25" spans="1:10">
      <c r="A957" s="7" t="s">
        <v>956</v>
      </c>
      <c r="B957" s="7" t="s">
        <v>971</v>
      </c>
      <c r="C957" s="7" t="str">
        <f t="shared" si="44"/>
        <v>男</v>
      </c>
      <c r="D957" s="7" t="str">
        <f>"411325199510170037"</f>
        <v>411325199510170037</v>
      </c>
      <c r="E957" s="8" t="str">
        <f>"10960233224"</f>
        <v>10960233224</v>
      </c>
      <c r="F957" s="7" t="str">
        <f t="shared" si="46"/>
        <v>32</v>
      </c>
      <c r="G957" s="7" t="str">
        <f>"24"</f>
        <v>24</v>
      </c>
      <c r="H957" s="7" t="s">
        <v>13</v>
      </c>
      <c r="I957" s="7">
        <v>60.8</v>
      </c>
      <c r="J957" s="9"/>
    </row>
    <row r="958" ht="14.25" spans="1:10">
      <c r="A958" s="7" t="s">
        <v>956</v>
      </c>
      <c r="B958" s="7" t="s">
        <v>972</v>
      </c>
      <c r="C958" s="7" t="str">
        <f t="shared" si="44"/>
        <v>男</v>
      </c>
      <c r="D958" s="7" t="str">
        <f>"411325199709082931"</f>
        <v>411325199709082931</v>
      </c>
      <c r="E958" s="8" t="str">
        <f>"10960233225"</f>
        <v>10960233225</v>
      </c>
      <c r="F958" s="7" t="str">
        <f t="shared" si="46"/>
        <v>32</v>
      </c>
      <c r="G958" s="7" t="str">
        <f>"25"</f>
        <v>25</v>
      </c>
      <c r="H958" s="7" t="s">
        <v>13</v>
      </c>
      <c r="I958" s="7" t="s">
        <v>14</v>
      </c>
      <c r="J958" s="9"/>
    </row>
    <row r="959" ht="14.25" spans="1:10">
      <c r="A959" s="7" t="s">
        <v>956</v>
      </c>
      <c r="B959" s="7" t="s">
        <v>973</v>
      </c>
      <c r="C959" s="7" t="str">
        <f t="shared" si="44"/>
        <v>女</v>
      </c>
      <c r="D959" s="7" t="str">
        <f>"411321199609141521"</f>
        <v>411321199609141521</v>
      </c>
      <c r="E959" s="8" t="str">
        <f>"10960233226"</f>
        <v>10960233226</v>
      </c>
      <c r="F959" s="7" t="str">
        <f t="shared" si="46"/>
        <v>32</v>
      </c>
      <c r="G959" s="7" t="str">
        <f>"26"</f>
        <v>26</v>
      </c>
      <c r="H959" s="7" t="s">
        <v>13</v>
      </c>
      <c r="I959" s="7">
        <v>60.9</v>
      </c>
      <c r="J959" s="9"/>
    </row>
    <row r="960" ht="14.25" spans="1:10">
      <c r="A960" s="7" t="s">
        <v>956</v>
      </c>
      <c r="B960" s="7" t="s">
        <v>676</v>
      </c>
      <c r="C960" s="7" t="str">
        <f t="shared" si="44"/>
        <v>女</v>
      </c>
      <c r="D960" s="7" t="str">
        <f>"411325199502100047"</f>
        <v>411325199502100047</v>
      </c>
      <c r="E960" s="8" t="str">
        <f>"10960233227"</f>
        <v>10960233227</v>
      </c>
      <c r="F960" s="7" t="str">
        <f t="shared" si="46"/>
        <v>32</v>
      </c>
      <c r="G960" s="7" t="str">
        <f>"27"</f>
        <v>27</v>
      </c>
      <c r="H960" s="7" t="s">
        <v>13</v>
      </c>
      <c r="I960" s="7" t="s">
        <v>14</v>
      </c>
      <c r="J960" s="9"/>
    </row>
    <row r="961" ht="14.25" spans="1:10">
      <c r="A961" s="7" t="s">
        <v>956</v>
      </c>
      <c r="B961" s="7" t="s">
        <v>974</v>
      </c>
      <c r="C961" s="7" t="str">
        <f t="shared" si="44"/>
        <v>女</v>
      </c>
      <c r="D961" s="7" t="str">
        <f>"41132519980618004X"</f>
        <v>41132519980618004X</v>
      </c>
      <c r="E961" s="8" t="str">
        <f>"10960233228"</f>
        <v>10960233228</v>
      </c>
      <c r="F961" s="7" t="str">
        <f t="shared" si="46"/>
        <v>32</v>
      </c>
      <c r="G961" s="7" t="str">
        <f>"28"</f>
        <v>28</v>
      </c>
      <c r="H961" s="7" t="s">
        <v>13</v>
      </c>
      <c r="I961" s="7" t="s">
        <v>14</v>
      </c>
      <c r="J961" s="9"/>
    </row>
    <row r="962" ht="14.25" spans="1:10">
      <c r="A962" s="7" t="s">
        <v>956</v>
      </c>
      <c r="B962" s="7" t="s">
        <v>975</v>
      </c>
      <c r="C962" s="7" t="str">
        <f t="shared" si="44"/>
        <v>男</v>
      </c>
      <c r="D962" s="7" t="str">
        <f>"411325199604172930"</f>
        <v>411325199604172930</v>
      </c>
      <c r="E962" s="8" t="str">
        <f>"10960233229"</f>
        <v>10960233229</v>
      </c>
      <c r="F962" s="7" t="str">
        <f t="shared" si="46"/>
        <v>32</v>
      </c>
      <c r="G962" s="7" t="str">
        <f>"29"</f>
        <v>29</v>
      </c>
      <c r="H962" s="7" t="s">
        <v>13</v>
      </c>
      <c r="I962" s="7" t="s">
        <v>14</v>
      </c>
      <c r="J962" s="9"/>
    </row>
    <row r="963" ht="14.25" spans="1:10">
      <c r="A963" s="7" t="s">
        <v>956</v>
      </c>
      <c r="B963" s="7" t="s">
        <v>976</v>
      </c>
      <c r="C963" s="7" t="str">
        <f t="shared" si="44"/>
        <v>男</v>
      </c>
      <c r="D963" s="7" t="str">
        <f>"41132619970416001X"</f>
        <v>41132619970416001X</v>
      </c>
      <c r="E963" s="8" t="str">
        <f>"10960233230"</f>
        <v>10960233230</v>
      </c>
      <c r="F963" s="7" t="str">
        <f t="shared" si="46"/>
        <v>32</v>
      </c>
      <c r="G963" s="7" t="str">
        <f>"30"</f>
        <v>30</v>
      </c>
      <c r="H963" s="7" t="s">
        <v>13</v>
      </c>
      <c r="I963" s="7" t="s">
        <v>14</v>
      </c>
      <c r="J963" s="9"/>
    </row>
    <row r="964" ht="14.25" spans="1:10">
      <c r="A964" s="7" t="s">
        <v>956</v>
      </c>
      <c r="B964" s="7" t="s">
        <v>977</v>
      </c>
      <c r="C964" s="7" t="str">
        <f t="shared" ref="C964:C1027" si="47">IF(MOD(MID(D964,17,1),2),"男","女")</f>
        <v>男</v>
      </c>
      <c r="D964" s="7" t="str">
        <f>"411323199407143417"</f>
        <v>411323199407143417</v>
      </c>
      <c r="E964" s="8" t="str">
        <f>"10960233301"</f>
        <v>10960233301</v>
      </c>
      <c r="F964" s="7" t="str">
        <f t="shared" ref="F964:F993" si="48">"33"</f>
        <v>33</v>
      </c>
      <c r="G964" s="7" t="str">
        <f>"01"</f>
        <v>01</v>
      </c>
      <c r="H964" s="7" t="s">
        <v>13</v>
      </c>
      <c r="I964" s="7" t="s">
        <v>14</v>
      </c>
      <c r="J964" s="9"/>
    </row>
    <row r="965" ht="14.25" spans="1:10">
      <c r="A965" s="7" t="s">
        <v>956</v>
      </c>
      <c r="B965" s="7" t="s">
        <v>978</v>
      </c>
      <c r="C965" s="7" t="str">
        <f t="shared" si="47"/>
        <v>女</v>
      </c>
      <c r="D965" s="7" t="str">
        <f>"411328199703150429"</f>
        <v>411328199703150429</v>
      </c>
      <c r="E965" s="8" t="str">
        <f>"10960233302"</f>
        <v>10960233302</v>
      </c>
      <c r="F965" s="7" t="str">
        <f t="shared" si="48"/>
        <v>33</v>
      </c>
      <c r="G965" s="7" t="str">
        <f>"02"</f>
        <v>02</v>
      </c>
      <c r="H965" s="7" t="s">
        <v>13</v>
      </c>
      <c r="I965" s="7">
        <v>62.8</v>
      </c>
      <c r="J965" s="9"/>
    </row>
    <row r="966" ht="14.25" spans="1:10">
      <c r="A966" s="7" t="s">
        <v>956</v>
      </c>
      <c r="B966" s="7" t="s">
        <v>979</v>
      </c>
      <c r="C966" s="7" t="str">
        <f t="shared" si="47"/>
        <v>男</v>
      </c>
      <c r="D966" s="7" t="str">
        <f>"411325199207082333"</f>
        <v>411325199207082333</v>
      </c>
      <c r="E966" s="8" t="str">
        <f>"10960233303"</f>
        <v>10960233303</v>
      </c>
      <c r="F966" s="7" t="str">
        <f t="shared" si="48"/>
        <v>33</v>
      </c>
      <c r="G966" s="7" t="str">
        <f>"03"</f>
        <v>03</v>
      </c>
      <c r="H966" s="7" t="s">
        <v>13</v>
      </c>
      <c r="I966" s="7">
        <v>61.6</v>
      </c>
      <c r="J966" s="9"/>
    </row>
    <row r="967" ht="14.25" spans="1:10">
      <c r="A967" s="7" t="s">
        <v>956</v>
      </c>
      <c r="B967" s="7" t="s">
        <v>980</v>
      </c>
      <c r="C967" s="7" t="str">
        <f t="shared" si="47"/>
        <v>男</v>
      </c>
      <c r="D967" s="7" t="str">
        <f>"411326199201302012"</f>
        <v>411326199201302012</v>
      </c>
      <c r="E967" s="8" t="str">
        <f>"10960233304"</f>
        <v>10960233304</v>
      </c>
      <c r="F967" s="7" t="str">
        <f t="shared" si="48"/>
        <v>33</v>
      </c>
      <c r="G967" s="7" t="str">
        <f>"04"</f>
        <v>04</v>
      </c>
      <c r="H967" s="7" t="s">
        <v>13</v>
      </c>
      <c r="I967" s="7" t="s">
        <v>14</v>
      </c>
      <c r="J967" s="9"/>
    </row>
    <row r="968" ht="14.25" spans="1:10">
      <c r="A968" s="7" t="s">
        <v>956</v>
      </c>
      <c r="B968" s="7" t="s">
        <v>981</v>
      </c>
      <c r="C968" s="7" t="str">
        <f t="shared" si="47"/>
        <v>女</v>
      </c>
      <c r="D968" s="7" t="str">
        <f>"411325199409200027"</f>
        <v>411325199409200027</v>
      </c>
      <c r="E968" s="8" t="str">
        <f>"10960233305"</f>
        <v>10960233305</v>
      </c>
      <c r="F968" s="7" t="str">
        <f t="shared" si="48"/>
        <v>33</v>
      </c>
      <c r="G968" s="7" t="str">
        <f>"05"</f>
        <v>05</v>
      </c>
      <c r="H968" s="7" t="s">
        <v>13</v>
      </c>
      <c r="I968" s="7">
        <v>66.5</v>
      </c>
      <c r="J968" s="9"/>
    </row>
    <row r="969" ht="14.25" spans="1:10">
      <c r="A969" s="7" t="s">
        <v>956</v>
      </c>
      <c r="B969" s="7" t="s">
        <v>982</v>
      </c>
      <c r="C969" s="7" t="str">
        <f t="shared" si="47"/>
        <v>女</v>
      </c>
      <c r="D969" s="7" t="str">
        <f>"411325199405140020"</f>
        <v>411325199405140020</v>
      </c>
      <c r="E969" s="8" t="str">
        <f>"10960233306"</f>
        <v>10960233306</v>
      </c>
      <c r="F969" s="7" t="str">
        <f t="shared" si="48"/>
        <v>33</v>
      </c>
      <c r="G969" s="7" t="str">
        <f>"06"</f>
        <v>06</v>
      </c>
      <c r="H969" s="7" t="s">
        <v>13</v>
      </c>
      <c r="I969" s="7" t="s">
        <v>14</v>
      </c>
      <c r="J969" s="9"/>
    </row>
    <row r="970" ht="14.25" spans="1:10">
      <c r="A970" s="7" t="s">
        <v>956</v>
      </c>
      <c r="B970" s="7" t="s">
        <v>983</v>
      </c>
      <c r="C970" s="7" t="str">
        <f t="shared" si="47"/>
        <v>女</v>
      </c>
      <c r="D970" s="7" t="str">
        <f>"411325199809260424"</f>
        <v>411325199809260424</v>
      </c>
      <c r="E970" s="8" t="str">
        <f>"10960233307"</f>
        <v>10960233307</v>
      </c>
      <c r="F970" s="7" t="str">
        <f t="shared" si="48"/>
        <v>33</v>
      </c>
      <c r="G970" s="7" t="str">
        <f>"07"</f>
        <v>07</v>
      </c>
      <c r="H970" s="7" t="s">
        <v>13</v>
      </c>
      <c r="I970" s="7">
        <v>68.5</v>
      </c>
      <c r="J970" s="9"/>
    </row>
    <row r="971" ht="14.25" spans="1:10">
      <c r="A971" s="7" t="s">
        <v>956</v>
      </c>
      <c r="B971" s="7" t="s">
        <v>984</v>
      </c>
      <c r="C971" s="7" t="str">
        <f t="shared" si="47"/>
        <v>女</v>
      </c>
      <c r="D971" s="7" t="str">
        <f>"411325199102210044"</f>
        <v>411325199102210044</v>
      </c>
      <c r="E971" s="8" t="str">
        <f>"10960233308"</f>
        <v>10960233308</v>
      </c>
      <c r="F971" s="7" t="str">
        <f t="shared" si="48"/>
        <v>33</v>
      </c>
      <c r="G971" s="7" t="str">
        <f>"08"</f>
        <v>08</v>
      </c>
      <c r="H971" s="7" t="s">
        <v>13</v>
      </c>
      <c r="I971" s="7">
        <v>59.2</v>
      </c>
      <c r="J971" s="9"/>
    </row>
    <row r="972" ht="14.25" spans="1:10">
      <c r="A972" s="7" t="s">
        <v>956</v>
      </c>
      <c r="B972" s="7" t="s">
        <v>985</v>
      </c>
      <c r="C972" s="7" t="str">
        <f t="shared" si="47"/>
        <v>女</v>
      </c>
      <c r="D972" s="7" t="str">
        <f>"411325199701270428"</f>
        <v>411325199701270428</v>
      </c>
      <c r="E972" s="8" t="str">
        <f>"10960233309"</f>
        <v>10960233309</v>
      </c>
      <c r="F972" s="7" t="str">
        <f t="shared" si="48"/>
        <v>33</v>
      </c>
      <c r="G972" s="7" t="str">
        <f>"09"</f>
        <v>09</v>
      </c>
      <c r="H972" s="7" t="s">
        <v>13</v>
      </c>
      <c r="I972" s="7">
        <v>60.3</v>
      </c>
      <c r="J972" s="9"/>
    </row>
    <row r="973" ht="14.25" spans="1:10">
      <c r="A973" s="7" t="s">
        <v>956</v>
      </c>
      <c r="B973" s="7" t="s">
        <v>986</v>
      </c>
      <c r="C973" s="7" t="str">
        <f t="shared" si="47"/>
        <v>男</v>
      </c>
      <c r="D973" s="7" t="str">
        <f>"411325199210156137"</f>
        <v>411325199210156137</v>
      </c>
      <c r="E973" s="8" t="str">
        <f>"10960233310"</f>
        <v>10960233310</v>
      </c>
      <c r="F973" s="7" t="str">
        <f t="shared" si="48"/>
        <v>33</v>
      </c>
      <c r="G973" s="7" t="str">
        <f>"10"</f>
        <v>10</v>
      </c>
      <c r="H973" s="7" t="s">
        <v>13</v>
      </c>
      <c r="I973" s="7">
        <v>37</v>
      </c>
      <c r="J973" s="9"/>
    </row>
    <row r="974" ht="14.25" spans="1:10">
      <c r="A974" s="7" t="s">
        <v>956</v>
      </c>
      <c r="B974" s="7" t="s">
        <v>987</v>
      </c>
      <c r="C974" s="7" t="str">
        <f t="shared" si="47"/>
        <v>女</v>
      </c>
      <c r="D974" s="7" t="str">
        <f>"411329199504164429"</f>
        <v>411329199504164429</v>
      </c>
      <c r="E974" s="8" t="str">
        <f>"10960233311"</f>
        <v>10960233311</v>
      </c>
      <c r="F974" s="7" t="str">
        <f t="shared" si="48"/>
        <v>33</v>
      </c>
      <c r="G974" s="7" t="str">
        <f>"11"</f>
        <v>11</v>
      </c>
      <c r="H974" s="7" t="s">
        <v>13</v>
      </c>
      <c r="I974" s="7" t="s">
        <v>14</v>
      </c>
      <c r="J974" s="9"/>
    </row>
    <row r="975" ht="14.25" spans="1:10">
      <c r="A975" s="7" t="s">
        <v>956</v>
      </c>
      <c r="B975" s="7" t="s">
        <v>988</v>
      </c>
      <c r="C975" s="7" t="str">
        <f t="shared" si="47"/>
        <v>男</v>
      </c>
      <c r="D975" s="7" t="str">
        <f>"41132519980131001X"</f>
        <v>41132519980131001X</v>
      </c>
      <c r="E975" s="8" t="str">
        <f>"10960233312"</f>
        <v>10960233312</v>
      </c>
      <c r="F975" s="7" t="str">
        <f t="shared" si="48"/>
        <v>33</v>
      </c>
      <c r="G975" s="7" t="str">
        <f>"12"</f>
        <v>12</v>
      </c>
      <c r="H975" s="7" t="s">
        <v>13</v>
      </c>
      <c r="I975" s="7">
        <v>43.7</v>
      </c>
      <c r="J975" s="9"/>
    </row>
    <row r="976" ht="14.25" spans="1:10">
      <c r="A976" s="7" t="s">
        <v>956</v>
      </c>
      <c r="B976" s="7" t="s">
        <v>989</v>
      </c>
      <c r="C976" s="7" t="str">
        <f t="shared" si="47"/>
        <v>女</v>
      </c>
      <c r="D976" s="7" t="str">
        <f>"41132519940415704X"</f>
        <v>41132519940415704X</v>
      </c>
      <c r="E976" s="8" t="str">
        <f>"10960233313"</f>
        <v>10960233313</v>
      </c>
      <c r="F976" s="7" t="str">
        <f t="shared" si="48"/>
        <v>33</v>
      </c>
      <c r="G976" s="7" t="str">
        <f>"13"</f>
        <v>13</v>
      </c>
      <c r="H976" s="7" t="s">
        <v>13</v>
      </c>
      <c r="I976" s="7">
        <v>61.4</v>
      </c>
      <c r="J976" s="9"/>
    </row>
    <row r="977" ht="14.25" spans="1:10">
      <c r="A977" s="7" t="s">
        <v>956</v>
      </c>
      <c r="B977" s="7" t="s">
        <v>990</v>
      </c>
      <c r="C977" s="7" t="str">
        <f t="shared" si="47"/>
        <v>女</v>
      </c>
      <c r="D977" s="7" t="str">
        <f>"411322199711042948"</f>
        <v>411322199711042948</v>
      </c>
      <c r="E977" s="8" t="str">
        <f>"10960233314"</f>
        <v>10960233314</v>
      </c>
      <c r="F977" s="7" t="str">
        <f t="shared" si="48"/>
        <v>33</v>
      </c>
      <c r="G977" s="7" t="str">
        <f>"14"</f>
        <v>14</v>
      </c>
      <c r="H977" s="7" t="s">
        <v>13</v>
      </c>
      <c r="I977" s="7" t="s">
        <v>14</v>
      </c>
      <c r="J977" s="9"/>
    </row>
    <row r="978" ht="14.25" spans="1:10">
      <c r="A978" s="7" t="s">
        <v>956</v>
      </c>
      <c r="B978" s="7" t="s">
        <v>86</v>
      </c>
      <c r="C978" s="7" t="str">
        <f t="shared" si="47"/>
        <v>女</v>
      </c>
      <c r="D978" s="7" t="str">
        <f>"411325199510026027"</f>
        <v>411325199510026027</v>
      </c>
      <c r="E978" s="8" t="str">
        <f>"10960233315"</f>
        <v>10960233315</v>
      </c>
      <c r="F978" s="7" t="str">
        <f t="shared" si="48"/>
        <v>33</v>
      </c>
      <c r="G978" s="7" t="str">
        <f>"15"</f>
        <v>15</v>
      </c>
      <c r="H978" s="7" t="s">
        <v>13</v>
      </c>
      <c r="I978" s="7" t="s">
        <v>14</v>
      </c>
      <c r="J978" s="9"/>
    </row>
    <row r="979" ht="14.25" spans="1:10">
      <c r="A979" s="7" t="s">
        <v>956</v>
      </c>
      <c r="B979" s="7" t="s">
        <v>991</v>
      </c>
      <c r="C979" s="7" t="str">
        <f t="shared" si="47"/>
        <v>男</v>
      </c>
      <c r="D979" s="7" t="str">
        <f>"410181199602251319"</f>
        <v>410181199602251319</v>
      </c>
      <c r="E979" s="8" t="str">
        <f>"10960233316"</f>
        <v>10960233316</v>
      </c>
      <c r="F979" s="7" t="str">
        <f t="shared" si="48"/>
        <v>33</v>
      </c>
      <c r="G979" s="7" t="str">
        <f>"16"</f>
        <v>16</v>
      </c>
      <c r="H979" s="7" t="s">
        <v>45</v>
      </c>
      <c r="I979" s="7" t="s">
        <v>14</v>
      </c>
      <c r="J979" s="9"/>
    </row>
    <row r="980" ht="14.25" spans="1:10">
      <c r="A980" s="7" t="s">
        <v>956</v>
      </c>
      <c r="B980" s="7" t="s">
        <v>992</v>
      </c>
      <c r="C980" s="7" t="str">
        <f t="shared" si="47"/>
        <v>男</v>
      </c>
      <c r="D980" s="7" t="str">
        <f>"411323199411123419"</f>
        <v>411323199411123419</v>
      </c>
      <c r="E980" s="8" t="str">
        <f>"10960233317"</f>
        <v>10960233317</v>
      </c>
      <c r="F980" s="7" t="str">
        <f t="shared" si="48"/>
        <v>33</v>
      </c>
      <c r="G980" s="7" t="str">
        <f>"17"</f>
        <v>17</v>
      </c>
      <c r="H980" s="7" t="s">
        <v>45</v>
      </c>
      <c r="I980" s="7">
        <v>69.6</v>
      </c>
      <c r="J980" s="9"/>
    </row>
    <row r="981" ht="14.25" spans="1:10">
      <c r="A981" s="7" t="s">
        <v>956</v>
      </c>
      <c r="B981" s="7" t="s">
        <v>993</v>
      </c>
      <c r="C981" s="7" t="str">
        <f t="shared" si="47"/>
        <v>男</v>
      </c>
      <c r="D981" s="7" t="str">
        <f>"411324199103143430"</f>
        <v>411324199103143430</v>
      </c>
      <c r="E981" s="8" t="str">
        <f>"10960233318"</f>
        <v>10960233318</v>
      </c>
      <c r="F981" s="7" t="str">
        <f t="shared" si="48"/>
        <v>33</v>
      </c>
      <c r="G981" s="7" t="str">
        <f>"18"</f>
        <v>18</v>
      </c>
      <c r="H981" s="7" t="s">
        <v>45</v>
      </c>
      <c r="I981" s="7" t="s">
        <v>14</v>
      </c>
      <c r="J981" s="9"/>
    </row>
    <row r="982" ht="14.25" spans="1:10">
      <c r="A982" s="7" t="s">
        <v>956</v>
      </c>
      <c r="B982" s="7" t="s">
        <v>994</v>
      </c>
      <c r="C982" s="7" t="str">
        <f t="shared" si="47"/>
        <v>女</v>
      </c>
      <c r="D982" s="7" t="str">
        <f>"411081199410116388"</f>
        <v>411081199410116388</v>
      </c>
      <c r="E982" s="8" t="str">
        <f>"10960233319"</f>
        <v>10960233319</v>
      </c>
      <c r="F982" s="7" t="str">
        <f t="shared" si="48"/>
        <v>33</v>
      </c>
      <c r="G982" s="7" t="str">
        <f>"19"</f>
        <v>19</v>
      </c>
      <c r="H982" s="7" t="s">
        <v>45</v>
      </c>
      <c r="I982" s="7">
        <v>70.6</v>
      </c>
      <c r="J982" s="9"/>
    </row>
    <row r="983" ht="14.25" spans="1:10">
      <c r="A983" s="7" t="s">
        <v>956</v>
      </c>
      <c r="B983" s="7" t="s">
        <v>995</v>
      </c>
      <c r="C983" s="7" t="str">
        <f t="shared" si="47"/>
        <v>男</v>
      </c>
      <c r="D983" s="7" t="str">
        <f>"412822199809080019"</f>
        <v>412822199809080019</v>
      </c>
      <c r="E983" s="8" t="str">
        <f>"10960233320"</f>
        <v>10960233320</v>
      </c>
      <c r="F983" s="7" t="str">
        <f t="shared" si="48"/>
        <v>33</v>
      </c>
      <c r="G983" s="7" t="str">
        <f>"20"</f>
        <v>20</v>
      </c>
      <c r="H983" s="7" t="s">
        <v>45</v>
      </c>
      <c r="I983" s="7" t="s">
        <v>14</v>
      </c>
      <c r="J983" s="9"/>
    </row>
    <row r="984" ht="14.25" spans="1:10">
      <c r="A984" s="7" t="s">
        <v>956</v>
      </c>
      <c r="B984" s="7" t="s">
        <v>996</v>
      </c>
      <c r="C984" s="7" t="str">
        <f t="shared" si="47"/>
        <v>男</v>
      </c>
      <c r="D984" s="7" t="str">
        <f>"411323199504160016"</f>
        <v>411323199504160016</v>
      </c>
      <c r="E984" s="8" t="str">
        <f>"10960233321"</f>
        <v>10960233321</v>
      </c>
      <c r="F984" s="7" t="str">
        <f t="shared" si="48"/>
        <v>33</v>
      </c>
      <c r="G984" s="7" t="str">
        <f>"21"</f>
        <v>21</v>
      </c>
      <c r="H984" s="7" t="s">
        <v>45</v>
      </c>
      <c r="I984" s="7" t="s">
        <v>14</v>
      </c>
      <c r="J984" s="9"/>
    </row>
    <row r="985" ht="14.25" spans="1:10">
      <c r="A985" s="7" t="s">
        <v>956</v>
      </c>
      <c r="B985" s="7" t="s">
        <v>997</v>
      </c>
      <c r="C985" s="7" t="str">
        <f t="shared" si="47"/>
        <v>女</v>
      </c>
      <c r="D985" s="7" t="str">
        <f>"411381199410241521"</f>
        <v>411381199410241521</v>
      </c>
      <c r="E985" s="8" t="str">
        <f>"10960233322"</f>
        <v>10960233322</v>
      </c>
      <c r="F985" s="7" t="str">
        <f t="shared" si="48"/>
        <v>33</v>
      </c>
      <c r="G985" s="7" t="str">
        <f>"22"</f>
        <v>22</v>
      </c>
      <c r="H985" s="7" t="s">
        <v>45</v>
      </c>
      <c r="I985" s="7">
        <v>61.5</v>
      </c>
      <c r="J985" s="9"/>
    </row>
    <row r="986" ht="14.25" spans="1:10">
      <c r="A986" s="7" t="s">
        <v>956</v>
      </c>
      <c r="B986" s="7" t="s">
        <v>998</v>
      </c>
      <c r="C986" s="7" t="str">
        <f t="shared" si="47"/>
        <v>男</v>
      </c>
      <c r="D986" s="7" t="str">
        <f>"411321199309260019"</f>
        <v>411321199309260019</v>
      </c>
      <c r="E986" s="8" t="str">
        <f>"10960233323"</f>
        <v>10960233323</v>
      </c>
      <c r="F986" s="7" t="str">
        <f t="shared" si="48"/>
        <v>33</v>
      </c>
      <c r="G986" s="7" t="str">
        <f>"23"</f>
        <v>23</v>
      </c>
      <c r="H986" s="7" t="s">
        <v>45</v>
      </c>
      <c r="I986" s="7">
        <v>65.7</v>
      </c>
      <c r="J986" s="9"/>
    </row>
    <row r="987" ht="14.25" spans="1:10">
      <c r="A987" s="7" t="s">
        <v>956</v>
      </c>
      <c r="B987" s="7" t="s">
        <v>999</v>
      </c>
      <c r="C987" s="7" t="str">
        <f t="shared" si="47"/>
        <v>女</v>
      </c>
      <c r="D987" s="7" t="str">
        <f>"411321199410173622"</f>
        <v>411321199410173622</v>
      </c>
      <c r="E987" s="8" t="str">
        <f>"10960233324"</f>
        <v>10960233324</v>
      </c>
      <c r="F987" s="7" t="str">
        <f t="shared" si="48"/>
        <v>33</v>
      </c>
      <c r="G987" s="7" t="str">
        <f>"24"</f>
        <v>24</v>
      </c>
      <c r="H987" s="7" t="s">
        <v>45</v>
      </c>
      <c r="I987" s="7">
        <v>62.1</v>
      </c>
      <c r="J987" s="9"/>
    </row>
    <row r="988" ht="14.25" spans="1:10">
      <c r="A988" s="7" t="s">
        <v>956</v>
      </c>
      <c r="B988" s="7" t="s">
        <v>1000</v>
      </c>
      <c r="C988" s="7" t="str">
        <f t="shared" si="47"/>
        <v>女</v>
      </c>
      <c r="D988" s="7" t="str">
        <f>"411302199712023727"</f>
        <v>411302199712023727</v>
      </c>
      <c r="E988" s="8" t="str">
        <f>"10960233325"</f>
        <v>10960233325</v>
      </c>
      <c r="F988" s="7" t="str">
        <f t="shared" si="48"/>
        <v>33</v>
      </c>
      <c r="G988" s="7" t="str">
        <f>"25"</f>
        <v>25</v>
      </c>
      <c r="H988" s="7" t="s">
        <v>45</v>
      </c>
      <c r="I988" s="7">
        <v>67.7</v>
      </c>
      <c r="J988" s="9"/>
    </row>
    <row r="989" ht="14.25" spans="1:10">
      <c r="A989" s="7" t="s">
        <v>956</v>
      </c>
      <c r="B989" s="7" t="s">
        <v>1001</v>
      </c>
      <c r="C989" s="7" t="str">
        <f t="shared" si="47"/>
        <v>女</v>
      </c>
      <c r="D989" s="7" t="str">
        <f>"41282219960519118X"</f>
        <v>41282219960519118X</v>
      </c>
      <c r="E989" s="8" t="str">
        <f>"10960233326"</f>
        <v>10960233326</v>
      </c>
      <c r="F989" s="7" t="str">
        <f t="shared" si="48"/>
        <v>33</v>
      </c>
      <c r="G989" s="7" t="str">
        <f>"26"</f>
        <v>26</v>
      </c>
      <c r="H989" s="7" t="s">
        <v>45</v>
      </c>
      <c r="I989" s="7" t="s">
        <v>14</v>
      </c>
      <c r="J989" s="9"/>
    </row>
    <row r="990" ht="14.25" spans="1:10">
      <c r="A990" s="7" t="s">
        <v>956</v>
      </c>
      <c r="B990" s="7" t="s">
        <v>1002</v>
      </c>
      <c r="C990" s="7" t="str">
        <f t="shared" si="47"/>
        <v>女</v>
      </c>
      <c r="D990" s="7" t="str">
        <f>"411325199801113542"</f>
        <v>411325199801113542</v>
      </c>
      <c r="E990" s="8" t="str">
        <f>"10960233327"</f>
        <v>10960233327</v>
      </c>
      <c r="F990" s="7" t="str">
        <f t="shared" si="48"/>
        <v>33</v>
      </c>
      <c r="G990" s="7" t="str">
        <f>"27"</f>
        <v>27</v>
      </c>
      <c r="H990" s="7" t="s">
        <v>45</v>
      </c>
      <c r="I990" s="7">
        <v>69.1</v>
      </c>
      <c r="J990" s="9"/>
    </row>
    <row r="991" ht="14.25" spans="1:10">
      <c r="A991" s="7" t="s">
        <v>956</v>
      </c>
      <c r="B991" s="7" t="s">
        <v>1003</v>
      </c>
      <c r="C991" s="7" t="str">
        <f t="shared" si="47"/>
        <v>女</v>
      </c>
      <c r="D991" s="7" t="str">
        <f>"412826199203208562"</f>
        <v>412826199203208562</v>
      </c>
      <c r="E991" s="8" t="str">
        <f>"10960233328"</f>
        <v>10960233328</v>
      </c>
      <c r="F991" s="7" t="str">
        <f t="shared" si="48"/>
        <v>33</v>
      </c>
      <c r="G991" s="7" t="str">
        <f>"28"</f>
        <v>28</v>
      </c>
      <c r="H991" s="7" t="s">
        <v>45</v>
      </c>
      <c r="I991" s="7" t="s">
        <v>14</v>
      </c>
      <c r="J991" s="9"/>
    </row>
    <row r="992" ht="14.25" spans="1:10">
      <c r="A992" s="7" t="s">
        <v>956</v>
      </c>
      <c r="B992" s="7" t="s">
        <v>1004</v>
      </c>
      <c r="C992" s="7" t="str">
        <f t="shared" si="47"/>
        <v>女</v>
      </c>
      <c r="D992" s="7" t="str">
        <f>"41062219950424602X"</f>
        <v>41062219950424602X</v>
      </c>
      <c r="E992" s="8" t="str">
        <f>"10960233329"</f>
        <v>10960233329</v>
      </c>
      <c r="F992" s="7" t="str">
        <f t="shared" si="48"/>
        <v>33</v>
      </c>
      <c r="G992" s="7" t="str">
        <f>"29"</f>
        <v>29</v>
      </c>
      <c r="H992" s="7" t="s">
        <v>45</v>
      </c>
      <c r="I992" s="7" t="s">
        <v>14</v>
      </c>
      <c r="J992" s="9"/>
    </row>
    <row r="993" ht="14.25" spans="1:10">
      <c r="A993" s="7" t="s">
        <v>956</v>
      </c>
      <c r="B993" s="7" t="s">
        <v>1005</v>
      </c>
      <c r="C993" s="7" t="str">
        <f t="shared" si="47"/>
        <v>男</v>
      </c>
      <c r="D993" s="7" t="str">
        <f>"411303199702240513"</f>
        <v>411303199702240513</v>
      </c>
      <c r="E993" s="8" t="str">
        <f>"10960233330"</f>
        <v>10960233330</v>
      </c>
      <c r="F993" s="7" t="str">
        <f t="shared" si="48"/>
        <v>33</v>
      </c>
      <c r="G993" s="7" t="str">
        <f>"30"</f>
        <v>30</v>
      </c>
      <c r="H993" s="7" t="s">
        <v>45</v>
      </c>
      <c r="I993" s="7" t="s">
        <v>14</v>
      </c>
      <c r="J993" s="9"/>
    </row>
    <row r="994" ht="14.25" spans="1:10">
      <c r="A994" s="7" t="s">
        <v>956</v>
      </c>
      <c r="B994" s="7" t="s">
        <v>1006</v>
      </c>
      <c r="C994" s="7" t="str">
        <f t="shared" si="47"/>
        <v>女</v>
      </c>
      <c r="D994" s="7" t="str">
        <f>"410422199612155941"</f>
        <v>410422199612155941</v>
      </c>
      <c r="E994" s="8" t="str">
        <f>"10960233401"</f>
        <v>10960233401</v>
      </c>
      <c r="F994" s="7" t="str">
        <f>"34"</f>
        <v>34</v>
      </c>
      <c r="G994" s="7" t="str">
        <f>"01"</f>
        <v>01</v>
      </c>
      <c r="H994" s="7" t="s">
        <v>45</v>
      </c>
      <c r="I994" s="7" t="s">
        <v>14</v>
      </c>
      <c r="J994" s="9"/>
    </row>
    <row r="995" ht="14.25" spans="1:10">
      <c r="A995" s="7" t="s">
        <v>956</v>
      </c>
      <c r="B995" s="7" t="s">
        <v>1007</v>
      </c>
      <c r="C995" s="7" t="str">
        <f t="shared" si="47"/>
        <v>男</v>
      </c>
      <c r="D995" s="7" t="str">
        <f>"411321199504102518"</f>
        <v>411321199504102518</v>
      </c>
      <c r="E995" s="8" t="str">
        <f>"10960233402"</f>
        <v>10960233402</v>
      </c>
      <c r="F995" s="7" t="str">
        <f>"34"</f>
        <v>34</v>
      </c>
      <c r="G995" s="7" t="str">
        <f>"02"</f>
        <v>02</v>
      </c>
      <c r="H995" s="7" t="s">
        <v>45</v>
      </c>
      <c r="I995" s="7">
        <v>70.5</v>
      </c>
      <c r="J995" s="9"/>
    </row>
    <row r="996" ht="14.25" spans="1:10">
      <c r="A996" s="7" t="s">
        <v>956</v>
      </c>
      <c r="B996" s="7" t="s">
        <v>1008</v>
      </c>
      <c r="C996" s="7" t="str">
        <f t="shared" si="47"/>
        <v>女</v>
      </c>
      <c r="D996" s="7" t="str">
        <f>"41132119960428294X"</f>
        <v>41132119960428294X</v>
      </c>
      <c r="E996" s="8" t="str">
        <f>"10960233403"</f>
        <v>10960233403</v>
      </c>
      <c r="F996" s="7" t="str">
        <f>"34"</f>
        <v>34</v>
      </c>
      <c r="G996" s="7" t="str">
        <f>"03"</f>
        <v>03</v>
      </c>
      <c r="H996" s="7" t="s">
        <v>45</v>
      </c>
      <c r="I996" s="7">
        <v>69.5</v>
      </c>
      <c r="J996" s="9"/>
    </row>
    <row r="997" ht="14.25" spans="1:10">
      <c r="A997" s="7" t="s">
        <v>956</v>
      </c>
      <c r="B997" s="7" t="s">
        <v>1009</v>
      </c>
      <c r="C997" s="7" t="str">
        <f t="shared" si="47"/>
        <v>女</v>
      </c>
      <c r="D997" s="7" t="str">
        <f>"220122199007092581"</f>
        <v>220122199007092581</v>
      </c>
      <c r="E997" s="8" t="str">
        <f>"10960233404"</f>
        <v>10960233404</v>
      </c>
      <c r="F997" s="7" t="str">
        <f>"34"</f>
        <v>34</v>
      </c>
      <c r="G997" s="7" t="str">
        <f>"04"</f>
        <v>04</v>
      </c>
      <c r="H997" s="7" t="s">
        <v>45</v>
      </c>
      <c r="I997" s="7">
        <v>42.9</v>
      </c>
      <c r="J997" s="9"/>
    </row>
    <row r="998" ht="14.25" spans="1:10">
      <c r="A998" s="7" t="s">
        <v>956</v>
      </c>
      <c r="B998" s="7" t="s">
        <v>1010</v>
      </c>
      <c r="C998" s="7" t="str">
        <f t="shared" si="47"/>
        <v>男</v>
      </c>
      <c r="D998" s="7" t="str">
        <f>"411324199805073211"</f>
        <v>411324199805073211</v>
      </c>
      <c r="E998" s="8" t="str">
        <f>"10960233405"</f>
        <v>10960233405</v>
      </c>
      <c r="F998" s="7" t="str">
        <f t="shared" ref="F997:F1023" si="49">"34"</f>
        <v>34</v>
      </c>
      <c r="G998" s="7" t="str">
        <f>"05"</f>
        <v>05</v>
      </c>
      <c r="H998" s="7" t="s">
        <v>45</v>
      </c>
      <c r="I998" s="7" t="s">
        <v>14</v>
      </c>
      <c r="J998" s="9"/>
    </row>
    <row r="999" ht="14.25" spans="1:10">
      <c r="A999" s="7" t="s">
        <v>956</v>
      </c>
      <c r="B999" s="7" t="s">
        <v>1011</v>
      </c>
      <c r="C999" s="7" t="str">
        <f t="shared" si="47"/>
        <v>女</v>
      </c>
      <c r="D999" s="7" t="str">
        <f>"411325199506244523"</f>
        <v>411325199506244523</v>
      </c>
      <c r="E999" s="8" t="str">
        <f>"10960233406"</f>
        <v>10960233406</v>
      </c>
      <c r="F999" s="7" t="str">
        <f t="shared" si="49"/>
        <v>34</v>
      </c>
      <c r="G999" s="7" t="str">
        <f>"06"</f>
        <v>06</v>
      </c>
      <c r="H999" s="7" t="s">
        <v>45</v>
      </c>
      <c r="I999" s="7" t="s">
        <v>14</v>
      </c>
      <c r="J999" s="9"/>
    </row>
    <row r="1000" ht="14.25" spans="1:10">
      <c r="A1000" s="7" t="s">
        <v>956</v>
      </c>
      <c r="B1000" s="7" t="s">
        <v>1012</v>
      </c>
      <c r="C1000" s="7" t="str">
        <f t="shared" si="47"/>
        <v>女</v>
      </c>
      <c r="D1000" s="7" t="str">
        <f>"411323199808030042"</f>
        <v>411323199808030042</v>
      </c>
      <c r="E1000" s="8" t="str">
        <f>"10960233407"</f>
        <v>10960233407</v>
      </c>
      <c r="F1000" s="7" t="str">
        <f t="shared" si="49"/>
        <v>34</v>
      </c>
      <c r="G1000" s="7" t="str">
        <f>"07"</f>
        <v>07</v>
      </c>
      <c r="H1000" s="7" t="s">
        <v>45</v>
      </c>
      <c r="I1000" s="7" t="s">
        <v>14</v>
      </c>
      <c r="J1000" s="9"/>
    </row>
    <row r="1001" ht="14.25" spans="1:10">
      <c r="A1001" s="7" t="s">
        <v>956</v>
      </c>
      <c r="B1001" s="7" t="s">
        <v>1013</v>
      </c>
      <c r="C1001" s="7" t="str">
        <f t="shared" si="47"/>
        <v>女</v>
      </c>
      <c r="D1001" s="7" t="str">
        <f>"41088319960715552X"</f>
        <v>41088319960715552X</v>
      </c>
      <c r="E1001" s="8" t="str">
        <f>"10960233408"</f>
        <v>10960233408</v>
      </c>
      <c r="F1001" s="7" t="str">
        <f t="shared" si="49"/>
        <v>34</v>
      </c>
      <c r="G1001" s="7" t="str">
        <f>"08"</f>
        <v>08</v>
      </c>
      <c r="H1001" s="7" t="s">
        <v>45</v>
      </c>
      <c r="I1001" s="7" t="s">
        <v>14</v>
      </c>
      <c r="J1001" s="9"/>
    </row>
    <row r="1002" ht="14.25" spans="1:10">
      <c r="A1002" s="7" t="s">
        <v>956</v>
      </c>
      <c r="B1002" s="7" t="s">
        <v>1014</v>
      </c>
      <c r="C1002" s="7" t="str">
        <f t="shared" si="47"/>
        <v>男</v>
      </c>
      <c r="D1002" s="7" t="str">
        <f>"411321199708301519"</f>
        <v>411321199708301519</v>
      </c>
      <c r="E1002" s="8" t="str">
        <f>"10960233409"</f>
        <v>10960233409</v>
      </c>
      <c r="F1002" s="7" t="str">
        <f t="shared" si="49"/>
        <v>34</v>
      </c>
      <c r="G1002" s="7" t="str">
        <f>"09"</f>
        <v>09</v>
      </c>
      <c r="H1002" s="7" t="s">
        <v>45</v>
      </c>
      <c r="I1002" s="7" t="s">
        <v>14</v>
      </c>
      <c r="J1002" s="9"/>
    </row>
    <row r="1003" ht="14.25" spans="1:10">
      <c r="A1003" s="7" t="s">
        <v>1015</v>
      </c>
      <c r="B1003" s="7" t="s">
        <v>1016</v>
      </c>
      <c r="C1003" s="7" t="str">
        <f t="shared" si="47"/>
        <v>男</v>
      </c>
      <c r="D1003" s="7" t="str">
        <f>"411325199908078214"</f>
        <v>411325199908078214</v>
      </c>
      <c r="E1003" s="8" t="str">
        <f>"10960243410"</f>
        <v>10960243410</v>
      </c>
      <c r="F1003" s="7" t="str">
        <f t="shared" si="49"/>
        <v>34</v>
      </c>
      <c r="G1003" s="7" t="str">
        <f>"10"</f>
        <v>10</v>
      </c>
      <c r="H1003" s="7" t="s">
        <v>13</v>
      </c>
      <c r="I1003" s="7" t="s">
        <v>14</v>
      </c>
      <c r="J1003" s="9"/>
    </row>
    <row r="1004" ht="14.25" spans="1:10">
      <c r="A1004" s="7" t="s">
        <v>1015</v>
      </c>
      <c r="B1004" s="7" t="s">
        <v>1017</v>
      </c>
      <c r="C1004" s="7" t="str">
        <f t="shared" si="47"/>
        <v>女</v>
      </c>
      <c r="D1004" s="7" t="str">
        <f>"411325199512108288"</f>
        <v>411325199512108288</v>
      </c>
      <c r="E1004" s="8" t="str">
        <f>"10960243411"</f>
        <v>10960243411</v>
      </c>
      <c r="F1004" s="7" t="str">
        <f t="shared" si="49"/>
        <v>34</v>
      </c>
      <c r="G1004" s="7" t="str">
        <f>"11"</f>
        <v>11</v>
      </c>
      <c r="H1004" s="7" t="s">
        <v>13</v>
      </c>
      <c r="I1004" s="7">
        <v>62.2</v>
      </c>
      <c r="J1004" s="9"/>
    </row>
    <row r="1005" ht="14.25" spans="1:10">
      <c r="A1005" s="7" t="s">
        <v>1015</v>
      </c>
      <c r="B1005" s="7" t="s">
        <v>1018</v>
      </c>
      <c r="C1005" s="7" t="str">
        <f t="shared" si="47"/>
        <v>女</v>
      </c>
      <c r="D1005" s="7" t="str">
        <f>"411324199711200064"</f>
        <v>411324199711200064</v>
      </c>
      <c r="E1005" s="8" t="str">
        <f>"10960243412"</f>
        <v>10960243412</v>
      </c>
      <c r="F1005" s="7" t="str">
        <f t="shared" si="49"/>
        <v>34</v>
      </c>
      <c r="G1005" s="7" t="str">
        <f>"12"</f>
        <v>12</v>
      </c>
      <c r="H1005" s="7" t="s">
        <v>13</v>
      </c>
      <c r="I1005" s="7" t="s">
        <v>14</v>
      </c>
      <c r="J1005" s="9"/>
    </row>
    <row r="1006" ht="14.25" spans="1:10">
      <c r="A1006" s="7" t="s">
        <v>1015</v>
      </c>
      <c r="B1006" s="7" t="s">
        <v>1019</v>
      </c>
      <c r="C1006" s="7" t="str">
        <f t="shared" si="47"/>
        <v>男</v>
      </c>
      <c r="D1006" s="7" t="str">
        <f>"411325199603180410"</f>
        <v>411325199603180410</v>
      </c>
      <c r="E1006" s="8" t="str">
        <f>"10960243413"</f>
        <v>10960243413</v>
      </c>
      <c r="F1006" s="7" t="str">
        <f t="shared" si="49"/>
        <v>34</v>
      </c>
      <c r="G1006" s="7" t="str">
        <f>"13"</f>
        <v>13</v>
      </c>
      <c r="H1006" s="7" t="s">
        <v>13</v>
      </c>
      <c r="I1006" s="7">
        <v>57.1</v>
      </c>
      <c r="J1006" s="9"/>
    </row>
    <row r="1007" ht="14.25" spans="1:10">
      <c r="A1007" s="7" t="s">
        <v>1015</v>
      </c>
      <c r="B1007" s="7" t="s">
        <v>1020</v>
      </c>
      <c r="C1007" s="7" t="str">
        <f t="shared" si="47"/>
        <v>男</v>
      </c>
      <c r="D1007" s="7" t="str">
        <f>"411302199412281812"</f>
        <v>411302199412281812</v>
      </c>
      <c r="E1007" s="8" t="str">
        <f>"10960243414"</f>
        <v>10960243414</v>
      </c>
      <c r="F1007" s="7" t="str">
        <f t="shared" si="49"/>
        <v>34</v>
      </c>
      <c r="G1007" s="7" t="str">
        <f>"14"</f>
        <v>14</v>
      </c>
      <c r="H1007" s="7" t="s">
        <v>13</v>
      </c>
      <c r="I1007" s="7" t="s">
        <v>14</v>
      </c>
      <c r="J1007" s="9"/>
    </row>
    <row r="1008" ht="14.25" spans="1:10">
      <c r="A1008" s="7" t="s">
        <v>1015</v>
      </c>
      <c r="B1008" s="7" t="s">
        <v>1021</v>
      </c>
      <c r="C1008" s="7" t="str">
        <f t="shared" si="47"/>
        <v>女</v>
      </c>
      <c r="D1008" s="7" t="str">
        <f>"411325199611200047"</f>
        <v>411325199611200047</v>
      </c>
      <c r="E1008" s="8" t="str">
        <f>"10960243415"</f>
        <v>10960243415</v>
      </c>
      <c r="F1008" s="7" t="str">
        <f t="shared" si="49"/>
        <v>34</v>
      </c>
      <c r="G1008" s="7" t="str">
        <f>"15"</f>
        <v>15</v>
      </c>
      <c r="H1008" s="7" t="s">
        <v>13</v>
      </c>
      <c r="I1008" s="7">
        <v>72.5</v>
      </c>
      <c r="J1008" s="9"/>
    </row>
    <row r="1009" ht="14.25" spans="1:10">
      <c r="A1009" s="7" t="s">
        <v>1015</v>
      </c>
      <c r="B1009" s="7" t="s">
        <v>1022</v>
      </c>
      <c r="C1009" s="7" t="str">
        <f t="shared" si="47"/>
        <v>女</v>
      </c>
      <c r="D1009" s="7" t="str">
        <f>"410322199512308327"</f>
        <v>410322199512308327</v>
      </c>
      <c r="E1009" s="8" t="str">
        <f>"10960243416"</f>
        <v>10960243416</v>
      </c>
      <c r="F1009" s="7" t="str">
        <f t="shared" si="49"/>
        <v>34</v>
      </c>
      <c r="G1009" s="7" t="str">
        <f>"16"</f>
        <v>16</v>
      </c>
      <c r="H1009" s="7" t="s">
        <v>13</v>
      </c>
      <c r="I1009" s="7" t="s">
        <v>14</v>
      </c>
      <c r="J1009" s="9"/>
    </row>
    <row r="1010" ht="14.25" spans="1:10">
      <c r="A1010" s="7" t="s">
        <v>1015</v>
      </c>
      <c r="B1010" s="7" t="s">
        <v>1023</v>
      </c>
      <c r="C1010" s="7" t="str">
        <f t="shared" si="47"/>
        <v>女</v>
      </c>
      <c r="D1010" s="7" t="str">
        <f>"411325199301114127"</f>
        <v>411325199301114127</v>
      </c>
      <c r="E1010" s="8" t="str">
        <f>"10960243417"</f>
        <v>10960243417</v>
      </c>
      <c r="F1010" s="7" t="str">
        <f t="shared" si="49"/>
        <v>34</v>
      </c>
      <c r="G1010" s="7" t="str">
        <f>"17"</f>
        <v>17</v>
      </c>
      <c r="H1010" s="7" t="s">
        <v>13</v>
      </c>
      <c r="I1010" s="7" t="s">
        <v>14</v>
      </c>
      <c r="J1010" s="9"/>
    </row>
    <row r="1011" ht="14.25" spans="1:10">
      <c r="A1011" s="7" t="s">
        <v>1015</v>
      </c>
      <c r="B1011" s="7" t="s">
        <v>1024</v>
      </c>
      <c r="C1011" s="7" t="str">
        <f t="shared" si="47"/>
        <v>女</v>
      </c>
      <c r="D1011" s="7" t="str">
        <f>"411325199709115529"</f>
        <v>411325199709115529</v>
      </c>
      <c r="E1011" s="8" t="str">
        <f>"10960243418"</f>
        <v>10960243418</v>
      </c>
      <c r="F1011" s="7" t="str">
        <f t="shared" si="49"/>
        <v>34</v>
      </c>
      <c r="G1011" s="7" t="str">
        <f>"18"</f>
        <v>18</v>
      </c>
      <c r="H1011" s="7" t="s">
        <v>13</v>
      </c>
      <c r="I1011" s="7" t="s">
        <v>14</v>
      </c>
      <c r="J1011" s="9"/>
    </row>
    <row r="1012" ht="14.25" spans="1:10">
      <c r="A1012" s="7" t="s">
        <v>1015</v>
      </c>
      <c r="B1012" s="7" t="s">
        <v>1025</v>
      </c>
      <c r="C1012" s="7" t="str">
        <f t="shared" si="47"/>
        <v>男</v>
      </c>
      <c r="D1012" s="7" t="str">
        <f>"411321199506261512"</f>
        <v>411321199506261512</v>
      </c>
      <c r="E1012" s="8" t="str">
        <f>"10960243419"</f>
        <v>10960243419</v>
      </c>
      <c r="F1012" s="7" t="str">
        <f t="shared" si="49"/>
        <v>34</v>
      </c>
      <c r="G1012" s="7" t="str">
        <f>"19"</f>
        <v>19</v>
      </c>
      <c r="H1012" s="7" t="s">
        <v>13</v>
      </c>
      <c r="I1012" s="7">
        <v>39.4</v>
      </c>
      <c r="J1012" s="9"/>
    </row>
    <row r="1013" ht="14.25" spans="1:10">
      <c r="A1013" s="7" t="s">
        <v>1015</v>
      </c>
      <c r="B1013" s="7" t="s">
        <v>1026</v>
      </c>
      <c r="C1013" s="7" t="str">
        <f t="shared" si="47"/>
        <v>女</v>
      </c>
      <c r="D1013" s="7" t="str">
        <f>"411321199701272524"</f>
        <v>411321199701272524</v>
      </c>
      <c r="E1013" s="8" t="str">
        <f>"10960243420"</f>
        <v>10960243420</v>
      </c>
      <c r="F1013" s="7" t="str">
        <f t="shared" si="49"/>
        <v>34</v>
      </c>
      <c r="G1013" s="7" t="str">
        <f>"20"</f>
        <v>20</v>
      </c>
      <c r="H1013" s="7" t="s">
        <v>13</v>
      </c>
      <c r="I1013" s="7">
        <v>73.3</v>
      </c>
      <c r="J1013" s="9"/>
    </row>
    <row r="1014" ht="14.25" spans="1:10">
      <c r="A1014" s="7" t="s">
        <v>1015</v>
      </c>
      <c r="B1014" s="7" t="s">
        <v>1027</v>
      </c>
      <c r="C1014" s="7" t="str">
        <f t="shared" si="47"/>
        <v>女</v>
      </c>
      <c r="D1014" s="7" t="str">
        <f>"411321199706131528"</f>
        <v>411321199706131528</v>
      </c>
      <c r="E1014" s="8" t="str">
        <f>"10960243421"</f>
        <v>10960243421</v>
      </c>
      <c r="F1014" s="7" t="str">
        <f t="shared" si="49"/>
        <v>34</v>
      </c>
      <c r="G1014" s="7" t="str">
        <f>"21"</f>
        <v>21</v>
      </c>
      <c r="H1014" s="7" t="s">
        <v>13</v>
      </c>
      <c r="I1014" s="7" t="s">
        <v>14</v>
      </c>
      <c r="J1014" s="9"/>
    </row>
    <row r="1015" ht="14.25" spans="1:10">
      <c r="A1015" s="7" t="s">
        <v>1015</v>
      </c>
      <c r="B1015" s="7" t="s">
        <v>1028</v>
      </c>
      <c r="C1015" s="7" t="str">
        <f t="shared" si="47"/>
        <v>女</v>
      </c>
      <c r="D1015" s="7" t="str">
        <f>"411323199711090081"</f>
        <v>411323199711090081</v>
      </c>
      <c r="E1015" s="8" t="str">
        <f>"10960243422"</f>
        <v>10960243422</v>
      </c>
      <c r="F1015" s="7" t="str">
        <f t="shared" si="49"/>
        <v>34</v>
      </c>
      <c r="G1015" s="7" t="str">
        <f>"22"</f>
        <v>22</v>
      </c>
      <c r="H1015" s="7" t="s">
        <v>13</v>
      </c>
      <c r="I1015" s="7" t="s">
        <v>14</v>
      </c>
      <c r="J1015" s="9"/>
    </row>
    <row r="1016" ht="14.25" spans="1:10">
      <c r="A1016" s="7" t="s">
        <v>1015</v>
      </c>
      <c r="B1016" s="7" t="s">
        <v>1029</v>
      </c>
      <c r="C1016" s="7" t="str">
        <f t="shared" si="47"/>
        <v>男</v>
      </c>
      <c r="D1016" s="7" t="str">
        <f>"411325199412025012"</f>
        <v>411325199412025012</v>
      </c>
      <c r="E1016" s="8" t="str">
        <f>"10960243423"</f>
        <v>10960243423</v>
      </c>
      <c r="F1016" s="7" t="str">
        <f t="shared" si="49"/>
        <v>34</v>
      </c>
      <c r="G1016" s="7" t="str">
        <f>"23"</f>
        <v>23</v>
      </c>
      <c r="H1016" s="7" t="s">
        <v>13</v>
      </c>
      <c r="I1016" s="7" t="s">
        <v>14</v>
      </c>
      <c r="J1016" s="9"/>
    </row>
    <row r="1017" ht="14.25" spans="1:10">
      <c r="A1017" s="7" t="s">
        <v>1015</v>
      </c>
      <c r="B1017" s="7" t="s">
        <v>1030</v>
      </c>
      <c r="C1017" s="7" t="str">
        <f t="shared" si="47"/>
        <v>女</v>
      </c>
      <c r="D1017" s="7" t="str">
        <f>"411302199409093722"</f>
        <v>411302199409093722</v>
      </c>
      <c r="E1017" s="8" t="str">
        <f>"10960243424"</f>
        <v>10960243424</v>
      </c>
      <c r="F1017" s="7" t="str">
        <f t="shared" si="49"/>
        <v>34</v>
      </c>
      <c r="G1017" s="7" t="str">
        <f>"24"</f>
        <v>24</v>
      </c>
      <c r="H1017" s="7" t="s">
        <v>13</v>
      </c>
      <c r="I1017" s="7">
        <v>70.9</v>
      </c>
      <c r="J1017" s="9"/>
    </row>
    <row r="1018" ht="14.25" spans="1:10">
      <c r="A1018" s="7" t="s">
        <v>1015</v>
      </c>
      <c r="B1018" s="7" t="s">
        <v>1031</v>
      </c>
      <c r="C1018" s="7" t="str">
        <f t="shared" si="47"/>
        <v>男</v>
      </c>
      <c r="D1018" s="7" t="str">
        <f>"411325199501164137"</f>
        <v>411325199501164137</v>
      </c>
      <c r="E1018" s="8" t="str">
        <f>"10960243425"</f>
        <v>10960243425</v>
      </c>
      <c r="F1018" s="7" t="str">
        <f t="shared" si="49"/>
        <v>34</v>
      </c>
      <c r="G1018" s="7" t="str">
        <f>"25"</f>
        <v>25</v>
      </c>
      <c r="H1018" s="7" t="s">
        <v>13</v>
      </c>
      <c r="I1018" s="7">
        <v>70.2</v>
      </c>
      <c r="J1018" s="9"/>
    </row>
    <row r="1019" ht="14.25" spans="1:10">
      <c r="A1019" s="7" t="s">
        <v>1015</v>
      </c>
      <c r="B1019" s="7" t="s">
        <v>1032</v>
      </c>
      <c r="C1019" s="7" t="str">
        <f t="shared" si="47"/>
        <v>女</v>
      </c>
      <c r="D1019" s="7" t="str">
        <f>"411302199506260529"</f>
        <v>411302199506260529</v>
      </c>
      <c r="E1019" s="8" t="str">
        <f>"10960243426"</f>
        <v>10960243426</v>
      </c>
      <c r="F1019" s="7" t="str">
        <f t="shared" si="49"/>
        <v>34</v>
      </c>
      <c r="G1019" s="7" t="str">
        <f>"26"</f>
        <v>26</v>
      </c>
      <c r="H1019" s="7" t="s">
        <v>13</v>
      </c>
      <c r="I1019" s="7" t="s">
        <v>14</v>
      </c>
      <c r="J1019" s="9"/>
    </row>
    <row r="1020" ht="14.25" spans="1:10">
      <c r="A1020" s="7" t="s">
        <v>1015</v>
      </c>
      <c r="B1020" s="7" t="s">
        <v>1033</v>
      </c>
      <c r="C1020" s="7" t="str">
        <f t="shared" si="47"/>
        <v>男</v>
      </c>
      <c r="D1020" s="7" t="str">
        <f>"41138119900821711X"</f>
        <v>41138119900821711X</v>
      </c>
      <c r="E1020" s="8" t="str">
        <f>"10960243427"</f>
        <v>10960243427</v>
      </c>
      <c r="F1020" s="7" t="str">
        <f t="shared" si="49"/>
        <v>34</v>
      </c>
      <c r="G1020" s="7" t="str">
        <f>"27"</f>
        <v>27</v>
      </c>
      <c r="H1020" s="7" t="s">
        <v>13</v>
      </c>
      <c r="I1020" s="7">
        <v>71.4</v>
      </c>
      <c r="J1020" s="9"/>
    </row>
    <row r="1021" ht="14.25" spans="1:10">
      <c r="A1021" s="7" t="s">
        <v>1015</v>
      </c>
      <c r="B1021" s="7" t="s">
        <v>1034</v>
      </c>
      <c r="C1021" s="7" t="str">
        <f t="shared" si="47"/>
        <v>女</v>
      </c>
      <c r="D1021" s="7" t="str">
        <f>"411325199207160020"</f>
        <v>411325199207160020</v>
      </c>
      <c r="E1021" s="8" t="str">
        <f>"10960243428"</f>
        <v>10960243428</v>
      </c>
      <c r="F1021" s="7" t="str">
        <f t="shared" si="49"/>
        <v>34</v>
      </c>
      <c r="G1021" s="7" t="str">
        <f>"28"</f>
        <v>28</v>
      </c>
      <c r="H1021" s="7" t="s">
        <v>13</v>
      </c>
      <c r="I1021" s="7">
        <v>51.8</v>
      </c>
      <c r="J1021" s="9"/>
    </row>
    <row r="1022" ht="14.25" spans="1:10">
      <c r="A1022" s="7" t="s">
        <v>1015</v>
      </c>
      <c r="B1022" s="7" t="s">
        <v>1035</v>
      </c>
      <c r="C1022" s="7" t="str">
        <f t="shared" si="47"/>
        <v>女</v>
      </c>
      <c r="D1022" s="7" t="str">
        <f>"41132319971114342X"</f>
        <v>41132319971114342X</v>
      </c>
      <c r="E1022" s="8" t="str">
        <f>"10960243429"</f>
        <v>10960243429</v>
      </c>
      <c r="F1022" s="7" t="str">
        <f t="shared" si="49"/>
        <v>34</v>
      </c>
      <c r="G1022" s="7" t="str">
        <f>"29"</f>
        <v>29</v>
      </c>
      <c r="H1022" s="7" t="s">
        <v>45</v>
      </c>
      <c r="I1022" s="7">
        <v>68.3</v>
      </c>
      <c r="J1022" s="9"/>
    </row>
    <row r="1023" ht="14.25" spans="1:10">
      <c r="A1023" s="7" t="s">
        <v>1015</v>
      </c>
      <c r="B1023" s="7" t="s">
        <v>1036</v>
      </c>
      <c r="C1023" s="7" t="str">
        <f t="shared" si="47"/>
        <v>男</v>
      </c>
      <c r="D1023" s="7" t="str">
        <f>"411321199612130014"</f>
        <v>411321199612130014</v>
      </c>
      <c r="E1023" s="8" t="str">
        <f>"10960243430"</f>
        <v>10960243430</v>
      </c>
      <c r="F1023" s="7" t="str">
        <f t="shared" si="49"/>
        <v>34</v>
      </c>
      <c r="G1023" s="7" t="str">
        <f>"30"</f>
        <v>30</v>
      </c>
      <c r="H1023" s="7" t="s">
        <v>45</v>
      </c>
      <c r="I1023" s="7" t="s">
        <v>14</v>
      </c>
      <c r="J1023" s="9"/>
    </row>
    <row r="1024" ht="14.25" spans="1:10">
      <c r="A1024" s="7" t="s">
        <v>1015</v>
      </c>
      <c r="B1024" s="7" t="s">
        <v>1037</v>
      </c>
      <c r="C1024" s="7" t="str">
        <f t="shared" si="47"/>
        <v>女</v>
      </c>
      <c r="D1024" s="7" t="str">
        <f>"411321199505200021"</f>
        <v>411321199505200021</v>
      </c>
      <c r="E1024" s="8" t="str">
        <f>"10960243501"</f>
        <v>10960243501</v>
      </c>
      <c r="F1024" s="7" t="str">
        <f t="shared" ref="F1024:F1053" si="50">"35"</f>
        <v>35</v>
      </c>
      <c r="G1024" s="7" t="str">
        <f>"01"</f>
        <v>01</v>
      </c>
      <c r="H1024" s="7" t="s">
        <v>45</v>
      </c>
      <c r="I1024" s="7" t="s">
        <v>14</v>
      </c>
      <c r="J1024" s="9"/>
    </row>
    <row r="1025" ht="14.25" spans="1:10">
      <c r="A1025" s="7" t="s">
        <v>1015</v>
      </c>
      <c r="B1025" s="7" t="s">
        <v>1038</v>
      </c>
      <c r="C1025" s="7" t="str">
        <f t="shared" si="47"/>
        <v>男</v>
      </c>
      <c r="D1025" s="7" t="str">
        <f>"411302199301271814"</f>
        <v>411302199301271814</v>
      </c>
      <c r="E1025" s="8" t="str">
        <f>"10960243502"</f>
        <v>10960243502</v>
      </c>
      <c r="F1025" s="7" t="str">
        <f t="shared" si="50"/>
        <v>35</v>
      </c>
      <c r="G1025" s="7" t="str">
        <f>"02"</f>
        <v>02</v>
      </c>
      <c r="H1025" s="7" t="s">
        <v>45</v>
      </c>
      <c r="I1025" s="7" t="s">
        <v>14</v>
      </c>
      <c r="J1025" s="9"/>
    </row>
    <row r="1026" ht="14.25" spans="1:10">
      <c r="A1026" s="7" t="s">
        <v>1015</v>
      </c>
      <c r="B1026" s="7" t="s">
        <v>1039</v>
      </c>
      <c r="C1026" s="7" t="str">
        <f t="shared" si="47"/>
        <v>女</v>
      </c>
      <c r="D1026" s="7" t="str">
        <f>"41132319961006532X"</f>
        <v>41132319961006532X</v>
      </c>
      <c r="E1026" s="8" t="str">
        <f>"10960243503"</f>
        <v>10960243503</v>
      </c>
      <c r="F1026" s="7" t="str">
        <f t="shared" si="50"/>
        <v>35</v>
      </c>
      <c r="G1026" s="7" t="str">
        <f>"03"</f>
        <v>03</v>
      </c>
      <c r="H1026" s="7" t="s">
        <v>45</v>
      </c>
      <c r="I1026" s="7">
        <v>73.8</v>
      </c>
      <c r="J1026" s="9"/>
    </row>
    <row r="1027" ht="14.25" spans="1:10">
      <c r="A1027" s="7" t="s">
        <v>1015</v>
      </c>
      <c r="B1027" s="7" t="s">
        <v>1040</v>
      </c>
      <c r="C1027" s="7" t="str">
        <f t="shared" si="47"/>
        <v>女</v>
      </c>
      <c r="D1027" s="7" t="str">
        <f>"610221199303315120"</f>
        <v>610221199303315120</v>
      </c>
      <c r="E1027" s="8" t="str">
        <f>"10960243504"</f>
        <v>10960243504</v>
      </c>
      <c r="F1027" s="7" t="str">
        <f t="shared" si="50"/>
        <v>35</v>
      </c>
      <c r="G1027" s="7" t="str">
        <f>"04"</f>
        <v>04</v>
      </c>
      <c r="H1027" s="7" t="s">
        <v>45</v>
      </c>
      <c r="I1027" s="7" t="s">
        <v>14</v>
      </c>
      <c r="J1027" s="9"/>
    </row>
    <row r="1028" ht="14.25" spans="1:10">
      <c r="A1028" s="7" t="s">
        <v>1015</v>
      </c>
      <c r="B1028" s="7" t="s">
        <v>1041</v>
      </c>
      <c r="C1028" s="7" t="str">
        <f t="shared" ref="C1028:C1089" si="51">IF(MOD(MID(D1028,17,1),2),"男","女")</f>
        <v>女</v>
      </c>
      <c r="D1028" s="7" t="str">
        <f>"411302199310024241"</f>
        <v>411302199310024241</v>
      </c>
      <c r="E1028" s="8" t="str">
        <f>"10960243505"</f>
        <v>10960243505</v>
      </c>
      <c r="F1028" s="7" t="str">
        <f t="shared" si="50"/>
        <v>35</v>
      </c>
      <c r="G1028" s="7" t="str">
        <f>"05"</f>
        <v>05</v>
      </c>
      <c r="H1028" s="7" t="s">
        <v>45</v>
      </c>
      <c r="I1028" s="7" t="s">
        <v>14</v>
      </c>
      <c r="J1028" s="9"/>
    </row>
    <row r="1029" ht="14.25" spans="1:10">
      <c r="A1029" s="7" t="s">
        <v>1015</v>
      </c>
      <c r="B1029" s="7" t="s">
        <v>1042</v>
      </c>
      <c r="C1029" s="7" t="str">
        <f t="shared" si="51"/>
        <v>男</v>
      </c>
      <c r="D1029" s="7" t="str">
        <f>"412824199809101038"</f>
        <v>412824199809101038</v>
      </c>
      <c r="E1029" s="8" t="str">
        <f>"10960243506"</f>
        <v>10960243506</v>
      </c>
      <c r="F1029" s="7" t="str">
        <f t="shared" si="50"/>
        <v>35</v>
      </c>
      <c r="G1029" s="7" t="str">
        <f>"06"</f>
        <v>06</v>
      </c>
      <c r="H1029" s="7" t="s">
        <v>45</v>
      </c>
      <c r="I1029" s="7" t="s">
        <v>14</v>
      </c>
      <c r="J1029" s="9"/>
    </row>
    <row r="1030" ht="14.25" spans="1:10">
      <c r="A1030" s="7" t="s">
        <v>1015</v>
      </c>
      <c r="B1030" s="7" t="s">
        <v>1043</v>
      </c>
      <c r="C1030" s="7" t="str">
        <f t="shared" si="51"/>
        <v>女</v>
      </c>
      <c r="D1030" s="7" t="str">
        <f>"411321199601202529"</f>
        <v>411321199601202529</v>
      </c>
      <c r="E1030" s="8" t="str">
        <f>"10960243507"</f>
        <v>10960243507</v>
      </c>
      <c r="F1030" s="7" t="str">
        <f t="shared" si="50"/>
        <v>35</v>
      </c>
      <c r="G1030" s="7" t="str">
        <f>"07"</f>
        <v>07</v>
      </c>
      <c r="H1030" s="7" t="s">
        <v>45</v>
      </c>
      <c r="I1030" s="7" t="s">
        <v>14</v>
      </c>
      <c r="J1030" s="9"/>
    </row>
    <row r="1031" ht="14.25" spans="1:10">
      <c r="A1031" s="7" t="s">
        <v>1015</v>
      </c>
      <c r="B1031" s="7" t="s">
        <v>1044</v>
      </c>
      <c r="C1031" s="7" t="str">
        <f t="shared" si="51"/>
        <v>女</v>
      </c>
      <c r="D1031" s="7" t="str">
        <f>"411321199802011526"</f>
        <v>411321199802011526</v>
      </c>
      <c r="E1031" s="8" t="str">
        <f>"10960243508"</f>
        <v>10960243508</v>
      </c>
      <c r="F1031" s="7" t="str">
        <f t="shared" si="50"/>
        <v>35</v>
      </c>
      <c r="G1031" s="7" t="str">
        <f>"08"</f>
        <v>08</v>
      </c>
      <c r="H1031" s="7" t="s">
        <v>45</v>
      </c>
      <c r="I1031" s="7" t="s">
        <v>14</v>
      </c>
      <c r="J1031" s="9"/>
    </row>
    <row r="1032" ht="14.25" spans="1:10">
      <c r="A1032" s="7" t="s">
        <v>1015</v>
      </c>
      <c r="B1032" s="7" t="s">
        <v>31</v>
      </c>
      <c r="C1032" s="7" t="str">
        <f t="shared" si="51"/>
        <v>男</v>
      </c>
      <c r="D1032" s="7" t="str">
        <f>"410101199712173516"</f>
        <v>410101199712173516</v>
      </c>
      <c r="E1032" s="8" t="str">
        <f>"10960243509"</f>
        <v>10960243509</v>
      </c>
      <c r="F1032" s="7" t="str">
        <f t="shared" si="50"/>
        <v>35</v>
      </c>
      <c r="G1032" s="7" t="str">
        <f>"09"</f>
        <v>09</v>
      </c>
      <c r="H1032" s="7" t="s">
        <v>45</v>
      </c>
      <c r="I1032" s="7" t="s">
        <v>14</v>
      </c>
      <c r="J1032" s="9"/>
    </row>
    <row r="1033" ht="14.25" spans="1:10">
      <c r="A1033" s="7" t="s">
        <v>1015</v>
      </c>
      <c r="B1033" s="7" t="s">
        <v>1045</v>
      </c>
      <c r="C1033" s="7" t="str">
        <f t="shared" si="51"/>
        <v>男</v>
      </c>
      <c r="D1033" s="7" t="str">
        <f>"411326199605100011"</f>
        <v>411326199605100011</v>
      </c>
      <c r="E1033" s="8" t="str">
        <f>"10960243510"</f>
        <v>10960243510</v>
      </c>
      <c r="F1033" s="7" t="str">
        <f t="shared" si="50"/>
        <v>35</v>
      </c>
      <c r="G1033" s="7" t="str">
        <f>"10"</f>
        <v>10</v>
      </c>
      <c r="H1033" s="7" t="s">
        <v>45</v>
      </c>
      <c r="I1033" s="7" t="s">
        <v>14</v>
      </c>
      <c r="J1033" s="9"/>
    </row>
    <row r="1034" ht="14.25" spans="1:10">
      <c r="A1034" s="7" t="s">
        <v>1015</v>
      </c>
      <c r="B1034" s="7" t="s">
        <v>1046</v>
      </c>
      <c r="C1034" s="7" t="str">
        <f t="shared" si="51"/>
        <v>女</v>
      </c>
      <c r="D1034" s="7" t="str">
        <f>"411627199411063323"</f>
        <v>411627199411063323</v>
      </c>
      <c r="E1034" s="8" t="str">
        <f>"10960243511"</f>
        <v>10960243511</v>
      </c>
      <c r="F1034" s="7" t="str">
        <f t="shared" si="50"/>
        <v>35</v>
      </c>
      <c r="G1034" s="7" t="str">
        <f>"11"</f>
        <v>11</v>
      </c>
      <c r="H1034" s="7" t="s">
        <v>45</v>
      </c>
      <c r="I1034" s="7">
        <v>61.4</v>
      </c>
      <c r="J1034" s="9"/>
    </row>
    <row r="1035" ht="14.25" spans="1:10">
      <c r="A1035" s="7" t="s">
        <v>1015</v>
      </c>
      <c r="B1035" s="7" t="s">
        <v>1047</v>
      </c>
      <c r="C1035" s="7" t="str">
        <f t="shared" si="51"/>
        <v>女</v>
      </c>
      <c r="D1035" s="7" t="str">
        <f>"411326199304162040"</f>
        <v>411326199304162040</v>
      </c>
      <c r="E1035" s="8" t="str">
        <f>"10960243512"</f>
        <v>10960243512</v>
      </c>
      <c r="F1035" s="7" t="str">
        <f t="shared" si="50"/>
        <v>35</v>
      </c>
      <c r="G1035" s="7" t="str">
        <f>"12"</f>
        <v>12</v>
      </c>
      <c r="H1035" s="7" t="s">
        <v>45</v>
      </c>
      <c r="I1035" s="7" t="s">
        <v>14</v>
      </c>
      <c r="J1035" s="9"/>
    </row>
    <row r="1036" ht="14.25" spans="1:10">
      <c r="A1036" s="7" t="s">
        <v>1015</v>
      </c>
      <c r="B1036" s="7" t="s">
        <v>1048</v>
      </c>
      <c r="C1036" s="7" t="str">
        <f t="shared" si="51"/>
        <v>女</v>
      </c>
      <c r="D1036" s="7" t="str">
        <f>"411321199307154140"</f>
        <v>411321199307154140</v>
      </c>
      <c r="E1036" s="8" t="str">
        <f>"10960243513"</f>
        <v>10960243513</v>
      </c>
      <c r="F1036" s="7" t="str">
        <f t="shared" si="50"/>
        <v>35</v>
      </c>
      <c r="G1036" s="7" t="str">
        <f>"13"</f>
        <v>13</v>
      </c>
      <c r="H1036" s="7" t="s">
        <v>45</v>
      </c>
      <c r="I1036" s="7" t="s">
        <v>14</v>
      </c>
      <c r="J1036" s="9"/>
    </row>
    <row r="1037" ht="14.25" spans="1:10">
      <c r="A1037" s="7" t="s">
        <v>1049</v>
      </c>
      <c r="B1037" s="7" t="s">
        <v>1050</v>
      </c>
      <c r="C1037" s="7" t="str">
        <f t="shared" si="51"/>
        <v>男</v>
      </c>
      <c r="D1037" s="7" t="str">
        <f>"411325199701100015"</f>
        <v>411325199701100015</v>
      </c>
      <c r="E1037" s="8" t="str">
        <f>"10960253514"</f>
        <v>10960253514</v>
      </c>
      <c r="F1037" s="7" t="str">
        <f t="shared" si="50"/>
        <v>35</v>
      </c>
      <c r="G1037" s="7" t="str">
        <f>"14"</f>
        <v>14</v>
      </c>
      <c r="H1037" s="7" t="s">
        <v>13</v>
      </c>
      <c r="I1037" s="7">
        <v>58.7</v>
      </c>
      <c r="J1037" s="9"/>
    </row>
    <row r="1038" ht="14.25" spans="1:10">
      <c r="A1038" s="7" t="s">
        <v>1049</v>
      </c>
      <c r="B1038" s="7" t="s">
        <v>868</v>
      </c>
      <c r="C1038" s="7" t="str">
        <f t="shared" si="51"/>
        <v>女</v>
      </c>
      <c r="D1038" s="7" t="str">
        <f>"411302199610010028"</f>
        <v>411302199610010028</v>
      </c>
      <c r="E1038" s="8" t="str">
        <f>"10960253515"</f>
        <v>10960253515</v>
      </c>
      <c r="F1038" s="7" t="str">
        <f t="shared" si="50"/>
        <v>35</v>
      </c>
      <c r="G1038" s="7" t="str">
        <f>"15"</f>
        <v>15</v>
      </c>
      <c r="H1038" s="7" t="s">
        <v>13</v>
      </c>
      <c r="I1038" s="7">
        <v>79.5</v>
      </c>
      <c r="J1038" s="9"/>
    </row>
    <row r="1039" ht="14.25" spans="1:10">
      <c r="A1039" s="7" t="s">
        <v>1049</v>
      </c>
      <c r="B1039" s="7" t="s">
        <v>1051</v>
      </c>
      <c r="C1039" s="7" t="str">
        <f t="shared" si="51"/>
        <v>女</v>
      </c>
      <c r="D1039" s="7" t="str">
        <f>"41132819941008136X"</f>
        <v>41132819941008136X</v>
      </c>
      <c r="E1039" s="8" t="str">
        <f>"10960253516"</f>
        <v>10960253516</v>
      </c>
      <c r="F1039" s="7" t="str">
        <f t="shared" si="50"/>
        <v>35</v>
      </c>
      <c r="G1039" s="7" t="str">
        <f>"16"</f>
        <v>16</v>
      </c>
      <c r="H1039" s="7" t="s">
        <v>13</v>
      </c>
      <c r="I1039" s="7">
        <v>72.5</v>
      </c>
      <c r="J1039" s="9"/>
    </row>
    <row r="1040" ht="14.25" spans="1:10">
      <c r="A1040" s="7" t="s">
        <v>1049</v>
      </c>
      <c r="B1040" s="7" t="s">
        <v>268</v>
      </c>
      <c r="C1040" s="7" t="str">
        <f t="shared" si="51"/>
        <v>女</v>
      </c>
      <c r="D1040" s="7" t="str">
        <f>"412828199504290021"</f>
        <v>412828199504290021</v>
      </c>
      <c r="E1040" s="8" t="str">
        <f>"10960253517"</f>
        <v>10960253517</v>
      </c>
      <c r="F1040" s="7" t="str">
        <f t="shared" si="50"/>
        <v>35</v>
      </c>
      <c r="G1040" s="7" t="str">
        <f>"17"</f>
        <v>17</v>
      </c>
      <c r="H1040" s="7" t="s">
        <v>13</v>
      </c>
      <c r="I1040" s="7" t="s">
        <v>14</v>
      </c>
      <c r="J1040" s="9"/>
    </row>
    <row r="1041" ht="14.25" spans="1:10">
      <c r="A1041" s="7" t="s">
        <v>1049</v>
      </c>
      <c r="B1041" s="7" t="s">
        <v>609</v>
      </c>
      <c r="C1041" s="7" t="str">
        <f t="shared" si="51"/>
        <v>女</v>
      </c>
      <c r="D1041" s="7" t="str">
        <f>"411325199609020725"</f>
        <v>411325199609020725</v>
      </c>
      <c r="E1041" s="8" t="str">
        <f>"10960253518"</f>
        <v>10960253518</v>
      </c>
      <c r="F1041" s="7" t="str">
        <f t="shared" si="50"/>
        <v>35</v>
      </c>
      <c r="G1041" s="7" t="str">
        <f>"18"</f>
        <v>18</v>
      </c>
      <c r="H1041" s="7" t="s">
        <v>13</v>
      </c>
      <c r="I1041" s="7" t="s">
        <v>14</v>
      </c>
      <c r="J1041" s="9"/>
    </row>
    <row r="1042" ht="14.25" spans="1:10">
      <c r="A1042" s="7" t="s">
        <v>1049</v>
      </c>
      <c r="B1042" s="7" t="s">
        <v>1052</v>
      </c>
      <c r="C1042" s="7" t="str">
        <f t="shared" si="51"/>
        <v>男</v>
      </c>
      <c r="D1042" s="7" t="str">
        <f>"411302199710273757"</f>
        <v>411302199710273757</v>
      </c>
      <c r="E1042" s="8" t="str">
        <f>"10960253519"</f>
        <v>10960253519</v>
      </c>
      <c r="F1042" s="7" t="str">
        <f t="shared" si="50"/>
        <v>35</v>
      </c>
      <c r="G1042" s="7" t="str">
        <f>"19"</f>
        <v>19</v>
      </c>
      <c r="H1042" s="7" t="s">
        <v>13</v>
      </c>
      <c r="I1042" s="7" t="s">
        <v>14</v>
      </c>
      <c r="J1042" s="9"/>
    </row>
    <row r="1043" ht="14.25" spans="1:10">
      <c r="A1043" s="7" t="s">
        <v>1049</v>
      </c>
      <c r="B1043" s="7" t="s">
        <v>1053</v>
      </c>
      <c r="C1043" s="7" t="str">
        <f t="shared" si="51"/>
        <v>男</v>
      </c>
      <c r="D1043" s="7" t="str">
        <f>"411325199402080034"</f>
        <v>411325199402080034</v>
      </c>
      <c r="E1043" s="8" t="str">
        <f>"10960253520"</f>
        <v>10960253520</v>
      </c>
      <c r="F1043" s="7" t="str">
        <f t="shared" si="50"/>
        <v>35</v>
      </c>
      <c r="G1043" s="7" t="str">
        <f>"20"</f>
        <v>20</v>
      </c>
      <c r="H1043" s="7" t="s">
        <v>13</v>
      </c>
      <c r="I1043" s="7">
        <v>50.5</v>
      </c>
      <c r="J1043" s="9"/>
    </row>
    <row r="1044" ht="14.25" spans="1:10">
      <c r="A1044" s="7" t="s">
        <v>1049</v>
      </c>
      <c r="B1044" s="7" t="s">
        <v>1054</v>
      </c>
      <c r="C1044" s="7" t="str">
        <f t="shared" si="51"/>
        <v>女</v>
      </c>
      <c r="D1044" s="7" t="str">
        <f>"411325199211039442"</f>
        <v>411325199211039442</v>
      </c>
      <c r="E1044" s="8" t="str">
        <f>"10960253521"</f>
        <v>10960253521</v>
      </c>
      <c r="F1044" s="7" t="str">
        <f t="shared" si="50"/>
        <v>35</v>
      </c>
      <c r="G1044" s="7" t="str">
        <f>"21"</f>
        <v>21</v>
      </c>
      <c r="H1044" s="7" t="s">
        <v>13</v>
      </c>
      <c r="I1044" s="7">
        <v>54</v>
      </c>
      <c r="J1044" s="9"/>
    </row>
    <row r="1045" ht="14.25" spans="1:10">
      <c r="A1045" s="7" t="s">
        <v>1049</v>
      </c>
      <c r="B1045" s="7" t="s">
        <v>1055</v>
      </c>
      <c r="C1045" s="7" t="str">
        <f t="shared" si="51"/>
        <v>女</v>
      </c>
      <c r="D1045" s="7" t="str">
        <f>"411325199809226525"</f>
        <v>411325199809226525</v>
      </c>
      <c r="E1045" s="8" t="str">
        <f>"10960253522"</f>
        <v>10960253522</v>
      </c>
      <c r="F1045" s="7" t="str">
        <f t="shared" si="50"/>
        <v>35</v>
      </c>
      <c r="G1045" s="7" t="str">
        <f>"22"</f>
        <v>22</v>
      </c>
      <c r="H1045" s="7" t="s">
        <v>13</v>
      </c>
      <c r="I1045" s="7" t="s">
        <v>14</v>
      </c>
      <c r="J1045" s="9"/>
    </row>
    <row r="1046" ht="14.25" spans="1:10">
      <c r="A1046" s="7" t="s">
        <v>1049</v>
      </c>
      <c r="B1046" s="7" t="s">
        <v>1056</v>
      </c>
      <c r="C1046" s="7" t="str">
        <f t="shared" si="51"/>
        <v>男</v>
      </c>
      <c r="D1046" s="7" t="str">
        <f>"411321199204141515"</f>
        <v>411321199204141515</v>
      </c>
      <c r="E1046" s="8" t="str">
        <f>"10960253523"</f>
        <v>10960253523</v>
      </c>
      <c r="F1046" s="7" t="str">
        <f t="shared" si="50"/>
        <v>35</v>
      </c>
      <c r="G1046" s="7" t="str">
        <f>"23"</f>
        <v>23</v>
      </c>
      <c r="H1046" s="7" t="s">
        <v>13</v>
      </c>
      <c r="I1046" s="7" t="s">
        <v>14</v>
      </c>
      <c r="J1046" s="9"/>
    </row>
    <row r="1047" ht="14.25" spans="1:10">
      <c r="A1047" s="7" t="s">
        <v>1049</v>
      </c>
      <c r="B1047" s="7" t="s">
        <v>1057</v>
      </c>
      <c r="C1047" s="7" t="str">
        <f t="shared" si="51"/>
        <v>女</v>
      </c>
      <c r="D1047" s="7" t="str">
        <f>"411325199209298285"</f>
        <v>411325199209298285</v>
      </c>
      <c r="E1047" s="8" t="str">
        <f>"10960253524"</f>
        <v>10960253524</v>
      </c>
      <c r="F1047" s="7" t="str">
        <f t="shared" si="50"/>
        <v>35</v>
      </c>
      <c r="G1047" s="7" t="str">
        <f>"24"</f>
        <v>24</v>
      </c>
      <c r="H1047" s="7" t="s">
        <v>13</v>
      </c>
      <c r="I1047" s="7">
        <v>55.6</v>
      </c>
      <c r="J1047" s="9"/>
    </row>
    <row r="1048" ht="14.25" spans="1:10">
      <c r="A1048" s="7" t="s">
        <v>1049</v>
      </c>
      <c r="B1048" s="7" t="s">
        <v>1058</v>
      </c>
      <c r="C1048" s="7" t="str">
        <f t="shared" si="51"/>
        <v>女</v>
      </c>
      <c r="D1048" s="7" t="str">
        <f>"411325199509010028"</f>
        <v>411325199509010028</v>
      </c>
      <c r="E1048" s="8" t="str">
        <f>"10960253525"</f>
        <v>10960253525</v>
      </c>
      <c r="F1048" s="7" t="str">
        <f t="shared" si="50"/>
        <v>35</v>
      </c>
      <c r="G1048" s="7" t="str">
        <f>"25"</f>
        <v>25</v>
      </c>
      <c r="H1048" s="7" t="s">
        <v>13</v>
      </c>
      <c r="I1048" s="7">
        <v>51.5</v>
      </c>
      <c r="J1048" s="9"/>
    </row>
    <row r="1049" ht="14.25" spans="1:10">
      <c r="A1049" s="7" t="s">
        <v>1049</v>
      </c>
      <c r="B1049" s="7" t="s">
        <v>1059</v>
      </c>
      <c r="C1049" s="7" t="str">
        <f t="shared" si="51"/>
        <v>男</v>
      </c>
      <c r="D1049" s="7" t="str">
        <f>"411303199505040010"</f>
        <v>411303199505040010</v>
      </c>
      <c r="E1049" s="8" t="str">
        <f>"10960253526"</f>
        <v>10960253526</v>
      </c>
      <c r="F1049" s="7" t="str">
        <f t="shared" si="50"/>
        <v>35</v>
      </c>
      <c r="G1049" s="7" t="str">
        <f>"26"</f>
        <v>26</v>
      </c>
      <c r="H1049" s="7" t="s">
        <v>13</v>
      </c>
      <c r="I1049" s="7">
        <v>56.7</v>
      </c>
      <c r="J1049" s="9"/>
    </row>
    <row r="1050" ht="14.25" spans="1:10">
      <c r="A1050" s="7" t="s">
        <v>1049</v>
      </c>
      <c r="B1050" s="7" t="s">
        <v>1060</v>
      </c>
      <c r="C1050" s="7" t="str">
        <f t="shared" si="51"/>
        <v>男</v>
      </c>
      <c r="D1050" s="7" t="str">
        <f>"411326199812031119"</f>
        <v>411326199812031119</v>
      </c>
      <c r="E1050" s="8" t="str">
        <f>"10960253527"</f>
        <v>10960253527</v>
      </c>
      <c r="F1050" s="7" t="str">
        <f t="shared" si="50"/>
        <v>35</v>
      </c>
      <c r="G1050" s="7" t="str">
        <f>"27"</f>
        <v>27</v>
      </c>
      <c r="H1050" s="7" t="s">
        <v>45</v>
      </c>
      <c r="I1050" s="7" t="s">
        <v>14</v>
      </c>
      <c r="J1050" s="9"/>
    </row>
    <row r="1051" ht="14.25" spans="1:10">
      <c r="A1051" s="7" t="s">
        <v>1049</v>
      </c>
      <c r="B1051" s="7" t="s">
        <v>1061</v>
      </c>
      <c r="C1051" s="7" t="str">
        <f t="shared" si="51"/>
        <v>男</v>
      </c>
      <c r="D1051" s="7" t="str">
        <f>"411302199606271815"</f>
        <v>411302199606271815</v>
      </c>
      <c r="E1051" s="8" t="str">
        <f>"10960253528"</f>
        <v>10960253528</v>
      </c>
      <c r="F1051" s="7" t="str">
        <f t="shared" si="50"/>
        <v>35</v>
      </c>
      <c r="G1051" s="7" t="str">
        <f>"28"</f>
        <v>28</v>
      </c>
      <c r="H1051" s="7" t="s">
        <v>45</v>
      </c>
      <c r="I1051" s="7">
        <v>60.1</v>
      </c>
      <c r="J1051" s="9"/>
    </row>
    <row r="1052" ht="14.25" spans="1:10">
      <c r="A1052" s="7" t="s">
        <v>1049</v>
      </c>
      <c r="B1052" s="7" t="s">
        <v>1062</v>
      </c>
      <c r="C1052" s="7" t="str">
        <f t="shared" si="51"/>
        <v>女</v>
      </c>
      <c r="D1052" s="7" t="str">
        <f>"411321199702173229"</f>
        <v>411321199702173229</v>
      </c>
      <c r="E1052" s="8" t="str">
        <f>"10960253529"</f>
        <v>10960253529</v>
      </c>
      <c r="F1052" s="7" t="str">
        <f t="shared" si="50"/>
        <v>35</v>
      </c>
      <c r="G1052" s="7" t="str">
        <f>"29"</f>
        <v>29</v>
      </c>
      <c r="H1052" s="7" t="s">
        <v>45</v>
      </c>
      <c r="I1052" s="7" t="s">
        <v>14</v>
      </c>
      <c r="J1052" s="9"/>
    </row>
    <row r="1053" ht="14.25" spans="1:10">
      <c r="A1053" s="7" t="s">
        <v>1049</v>
      </c>
      <c r="B1053" s="7" t="s">
        <v>1063</v>
      </c>
      <c r="C1053" s="7" t="str">
        <f t="shared" si="51"/>
        <v>女</v>
      </c>
      <c r="D1053" s="7" t="str">
        <f>"410322199406254724"</f>
        <v>410322199406254724</v>
      </c>
      <c r="E1053" s="8" t="str">
        <f>"10960253530"</f>
        <v>10960253530</v>
      </c>
      <c r="F1053" s="7" t="str">
        <f t="shared" si="50"/>
        <v>35</v>
      </c>
      <c r="G1053" s="7" t="str">
        <f>"30"</f>
        <v>30</v>
      </c>
      <c r="H1053" s="7" t="s">
        <v>45</v>
      </c>
      <c r="I1053" s="7" t="s">
        <v>14</v>
      </c>
      <c r="J1053" s="9"/>
    </row>
    <row r="1054" ht="14.25" spans="1:10">
      <c r="A1054" s="7" t="s">
        <v>1049</v>
      </c>
      <c r="B1054" s="7" t="s">
        <v>1064</v>
      </c>
      <c r="C1054" s="7" t="str">
        <f t="shared" si="51"/>
        <v>男</v>
      </c>
      <c r="D1054" s="7" t="str">
        <f>"41130319911227481X"</f>
        <v>41130319911227481X</v>
      </c>
      <c r="E1054" s="8" t="str">
        <f>"10960253601"</f>
        <v>10960253601</v>
      </c>
      <c r="F1054" s="7" t="str">
        <f t="shared" ref="F1054:F1083" si="52">"36"</f>
        <v>36</v>
      </c>
      <c r="G1054" s="7" t="str">
        <f>"01"</f>
        <v>01</v>
      </c>
      <c r="H1054" s="7" t="s">
        <v>45</v>
      </c>
      <c r="I1054" s="7" t="s">
        <v>14</v>
      </c>
      <c r="J1054" s="9"/>
    </row>
    <row r="1055" ht="14.25" spans="1:10">
      <c r="A1055" s="7" t="s">
        <v>1049</v>
      </c>
      <c r="B1055" s="7" t="s">
        <v>74</v>
      </c>
      <c r="C1055" s="7" t="str">
        <f t="shared" si="51"/>
        <v>女</v>
      </c>
      <c r="D1055" s="7" t="str">
        <f>"411328199511240024"</f>
        <v>411328199511240024</v>
      </c>
      <c r="E1055" s="8" t="str">
        <f>"10960253602"</f>
        <v>10960253602</v>
      </c>
      <c r="F1055" s="7" t="str">
        <f t="shared" si="52"/>
        <v>36</v>
      </c>
      <c r="G1055" s="7" t="str">
        <f>"02"</f>
        <v>02</v>
      </c>
      <c r="H1055" s="7" t="s">
        <v>45</v>
      </c>
      <c r="I1055" s="7" t="s">
        <v>14</v>
      </c>
      <c r="J1055" s="9"/>
    </row>
    <row r="1056" ht="14.25" spans="1:10">
      <c r="A1056" s="7" t="s">
        <v>1049</v>
      </c>
      <c r="B1056" s="7" t="s">
        <v>1065</v>
      </c>
      <c r="C1056" s="7" t="str">
        <f t="shared" si="51"/>
        <v>男</v>
      </c>
      <c r="D1056" s="7" t="str">
        <f>"411302199601052314"</f>
        <v>411302199601052314</v>
      </c>
      <c r="E1056" s="8" t="str">
        <f>"10960253603"</f>
        <v>10960253603</v>
      </c>
      <c r="F1056" s="7" t="str">
        <f t="shared" si="52"/>
        <v>36</v>
      </c>
      <c r="G1056" s="7" t="str">
        <f>"03"</f>
        <v>03</v>
      </c>
      <c r="H1056" s="7" t="s">
        <v>45</v>
      </c>
      <c r="I1056" s="7" t="s">
        <v>14</v>
      </c>
      <c r="J1056" s="9"/>
    </row>
    <row r="1057" ht="14.25" spans="1:10">
      <c r="A1057" s="7" t="s">
        <v>1049</v>
      </c>
      <c r="B1057" s="7" t="s">
        <v>1066</v>
      </c>
      <c r="C1057" s="7" t="str">
        <f t="shared" si="51"/>
        <v>男</v>
      </c>
      <c r="D1057" s="7" t="str">
        <f>"411381199505294810"</f>
        <v>411381199505294810</v>
      </c>
      <c r="E1057" s="8" t="str">
        <f>"10960253604"</f>
        <v>10960253604</v>
      </c>
      <c r="F1057" s="7" t="str">
        <f t="shared" si="52"/>
        <v>36</v>
      </c>
      <c r="G1057" s="7" t="str">
        <f>"04"</f>
        <v>04</v>
      </c>
      <c r="H1057" s="7" t="s">
        <v>45</v>
      </c>
      <c r="I1057" s="7" t="s">
        <v>14</v>
      </c>
      <c r="J1057" s="9"/>
    </row>
    <row r="1058" ht="14.25" spans="1:10">
      <c r="A1058" s="7" t="s">
        <v>1049</v>
      </c>
      <c r="B1058" s="7" t="s">
        <v>1067</v>
      </c>
      <c r="C1058" s="7" t="str">
        <f t="shared" si="51"/>
        <v>男</v>
      </c>
      <c r="D1058" s="7" t="str">
        <f>"412822199508092374"</f>
        <v>412822199508092374</v>
      </c>
      <c r="E1058" s="8" t="str">
        <f>"10960253605"</f>
        <v>10960253605</v>
      </c>
      <c r="F1058" s="7" t="str">
        <f t="shared" si="52"/>
        <v>36</v>
      </c>
      <c r="G1058" s="7" t="str">
        <f>"05"</f>
        <v>05</v>
      </c>
      <c r="H1058" s="7" t="s">
        <v>45</v>
      </c>
      <c r="I1058" s="7" t="s">
        <v>14</v>
      </c>
      <c r="J1058" s="9"/>
    </row>
    <row r="1059" ht="14.25" spans="1:10">
      <c r="A1059" s="7" t="s">
        <v>1049</v>
      </c>
      <c r="B1059" s="7" t="s">
        <v>1068</v>
      </c>
      <c r="C1059" s="7" t="str">
        <f t="shared" si="51"/>
        <v>女</v>
      </c>
      <c r="D1059" s="7" t="str">
        <f>"410422199212089201"</f>
        <v>410422199212089201</v>
      </c>
      <c r="E1059" s="8" t="str">
        <f>"10960253606"</f>
        <v>10960253606</v>
      </c>
      <c r="F1059" s="7" t="str">
        <f t="shared" si="52"/>
        <v>36</v>
      </c>
      <c r="G1059" s="7" t="str">
        <f>"06"</f>
        <v>06</v>
      </c>
      <c r="H1059" s="7" t="s">
        <v>45</v>
      </c>
      <c r="I1059" s="7" t="s">
        <v>14</v>
      </c>
      <c r="J1059" s="9"/>
    </row>
    <row r="1060" ht="14.25" spans="1:10">
      <c r="A1060" s="7" t="s">
        <v>1049</v>
      </c>
      <c r="B1060" s="7" t="s">
        <v>1069</v>
      </c>
      <c r="C1060" s="7" t="str">
        <f t="shared" si="51"/>
        <v>男</v>
      </c>
      <c r="D1060" s="7" t="str">
        <f>"412822199705282636"</f>
        <v>412822199705282636</v>
      </c>
      <c r="E1060" s="8" t="str">
        <f>"10960253607"</f>
        <v>10960253607</v>
      </c>
      <c r="F1060" s="7" t="str">
        <f t="shared" si="52"/>
        <v>36</v>
      </c>
      <c r="G1060" s="7" t="str">
        <f>"07"</f>
        <v>07</v>
      </c>
      <c r="H1060" s="7" t="s">
        <v>45</v>
      </c>
      <c r="I1060" s="7">
        <v>69.1</v>
      </c>
      <c r="J1060" s="9"/>
    </row>
    <row r="1061" ht="14.25" spans="1:10">
      <c r="A1061" s="7" t="s">
        <v>1049</v>
      </c>
      <c r="B1061" s="7" t="s">
        <v>1070</v>
      </c>
      <c r="C1061" s="7" t="str">
        <f t="shared" si="51"/>
        <v>女</v>
      </c>
      <c r="D1061" s="7" t="str">
        <f>"41132119990416032X"</f>
        <v>41132119990416032X</v>
      </c>
      <c r="E1061" s="8" t="str">
        <f>"10960253608"</f>
        <v>10960253608</v>
      </c>
      <c r="F1061" s="7" t="str">
        <f t="shared" si="52"/>
        <v>36</v>
      </c>
      <c r="G1061" s="7" t="str">
        <f>"08"</f>
        <v>08</v>
      </c>
      <c r="H1061" s="7" t="s">
        <v>45</v>
      </c>
      <c r="I1061" s="7">
        <v>72</v>
      </c>
      <c r="J1061" s="9"/>
    </row>
    <row r="1062" ht="14.25" spans="1:10">
      <c r="A1062" s="7" t="s">
        <v>1049</v>
      </c>
      <c r="B1062" s="7" t="s">
        <v>1071</v>
      </c>
      <c r="C1062" s="7" t="str">
        <f t="shared" si="51"/>
        <v>女</v>
      </c>
      <c r="D1062" s="7" t="str">
        <f>"411322199602070325"</f>
        <v>411322199602070325</v>
      </c>
      <c r="E1062" s="8" t="str">
        <f>"10960253609"</f>
        <v>10960253609</v>
      </c>
      <c r="F1062" s="7" t="str">
        <f t="shared" si="52"/>
        <v>36</v>
      </c>
      <c r="G1062" s="7" t="str">
        <f>"09"</f>
        <v>09</v>
      </c>
      <c r="H1062" s="7" t="s">
        <v>45</v>
      </c>
      <c r="I1062" s="7" t="s">
        <v>14</v>
      </c>
      <c r="J1062" s="9"/>
    </row>
    <row r="1063" ht="14.25" spans="1:10">
      <c r="A1063" s="7" t="s">
        <v>1072</v>
      </c>
      <c r="B1063" s="7" t="s">
        <v>1073</v>
      </c>
      <c r="C1063" s="7" t="str">
        <f t="shared" si="51"/>
        <v>男</v>
      </c>
      <c r="D1063" s="7" t="str">
        <f>"411325199308041338"</f>
        <v>411325199308041338</v>
      </c>
      <c r="E1063" s="8" t="str">
        <f>"10960263610"</f>
        <v>10960263610</v>
      </c>
      <c r="F1063" s="7" t="str">
        <f t="shared" si="52"/>
        <v>36</v>
      </c>
      <c r="G1063" s="7" t="str">
        <f>"10"</f>
        <v>10</v>
      </c>
      <c r="H1063" s="7" t="s">
        <v>13</v>
      </c>
      <c r="I1063" s="7">
        <v>66.6</v>
      </c>
      <c r="J1063" s="9"/>
    </row>
    <row r="1064" ht="14.25" spans="1:10">
      <c r="A1064" s="7" t="s">
        <v>1072</v>
      </c>
      <c r="B1064" s="7" t="s">
        <v>1074</v>
      </c>
      <c r="C1064" s="7" t="str">
        <f t="shared" si="51"/>
        <v>女</v>
      </c>
      <c r="D1064" s="7" t="str">
        <f>"411322199101030624"</f>
        <v>411322199101030624</v>
      </c>
      <c r="E1064" s="8" t="str">
        <f>"10960263611"</f>
        <v>10960263611</v>
      </c>
      <c r="F1064" s="7" t="str">
        <f t="shared" si="52"/>
        <v>36</v>
      </c>
      <c r="G1064" s="7" t="str">
        <f>"11"</f>
        <v>11</v>
      </c>
      <c r="H1064" s="7" t="s">
        <v>13</v>
      </c>
      <c r="I1064" s="7">
        <v>38.6</v>
      </c>
      <c r="J1064" s="9"/>
    </row>
    <row r="1065" ht="14.25" spans="1:10">
      <c r="A1065" s="7" t="s">
        <v>1072</v>
      </c>
      <c r="B1065" s="7" t="s">
        <v>1075</v>
      </c>
      <c r="C1065" s="7" t="str">
        <f t="shared" si="51"/>
        <v>女</v>
      </c>
      <c r="D1065" s="7" t="str">
        <f>"411325199509257426"</f>
        <v>411325199509257426</v>
      </c>
      <c r="E1065" s="8" t="str">
        <f>"10960263612"</f>
        <v>10960263612</v>
      </c>
      <c r="F1065" s="7" t="str">
        <f t="shared" si="52"/>
        <v>36</v>
      </c>
      <c r="G1065" s="7" t="str">
        <f>"12"</f>
        <v>12</v>
      </c>
      <c r="H1065" s="7" t="s">
        <v>13</v>
      </c>
      <c r="I1065" s="7">
        <v>70.2</v>
      </c>
      <c r="J1065" s="9"/>
    </row>
    <row r="1066" ht="14.25" spans="1:10">
      <c r="A1066" s="7" t="s">
        <v>1072</v>
      </c>
      <c r="B1066" s="7" t="s">
        <v>1076</v>
      </c>
      <c r="C1066" s="7" t="str">
        <f t="shared" si="51"/>
        <v>男</v>
      </c>
      <c r="D1066" s="7" t="str">
        <f>"410521199309295510"</f>
        <v>410521199309295510</v>
      </c>
      <c r="E1066" s="8" t="str">
        <f>"10960263613"</f>
        <v>10960263613</v>
      </c>
      <c r="F1066" s="7" t="str">
        <f t="shared" si="52"/>
        <v>36</v>
      </c>
      <c r="G1066" s="7" t="str">
        <f>"13"</f>
        <v>13</v>
      </c>
      <c r="H1066" s="7" t="s">
        <v>13</v>
      </c>
      <c r="I1066" s="7" t="s">
        <v>14</v>
      </c>
      <c r="J1066" s="9"/>
    </row>
    <row r="1067" ht="14.25" spans="1:10">
      <c r="A1067" s="7" t="s">
        <v>1072</v>
      </c>
      <c r="B1067" s="7" t="s">
        <v>1077</v>
      </c>
      <c r="C1067" s="7" t="str">
        <f t="shared" si="51"/>
        <v>女</v>
      </c>
      <c r="D1067" s="7" t="str">
        <f>"411303199709236760"</f>
        <v>411303199709236760</v>
      </c>
      <c r="E1067" s="8" t="str">
        <f>"10960263614"</f>
        <v>10960263614</v>
      </c>
      <c r="F1067" s="7" t="str">
        <f t="shared" si="52"/>
        <v>36</v>
      </c>
      <c r="G1067" s="7" t="str">
        <f>"14"</f>
        <v>14</v>
      </c>
      <c r="H1067" s="7" t="s">
        <v>13</v>
      </c>
      <c r="I1067" s="7">
        <v>68.6</v>
      </c>
      <c r="J1067" s="9"/>
    </row>
    <row r="1068" ht="14.25" spans="1:10">
      <c r="A1068" s="7" t="s">
        <v>1072</v>
      </c>
      <c r="B1068" s="7" t="s">
        <v>1078</v>
      </c>
      <c r="C1068" s="7" t="str">
        <f t="shared" si="51"/>
        <v>女</v>
      </c>
      <c r="D1068" s="7" t="str">
        <f>"411325199501220741"</f>
        <v>411325199501220741</v>
      </c>
      <c r="E1068" s="8" t="str">
        <f>"10960263615"</f>
        <v>10960263615</v>
      </c>
      <c r="F1068" s="7" t="str">
        <f t="shared" si="52"/>
        <v>36</v>
      </c>
      <c r="G1068" s="7" t="str">
        <f>"15"</f>
        <v>15</v>
      </c>
      <c r="H1068" s="7" t="s">
        <v>13</v>
      </c>
      <c r="I1068" s="7" t="s">
        <v>14</v>
      </c>
      <c r="J1068" s="9"/>
    </row>
    <row r="1069" ht="14.25" spans="1:10">
      <c r="A1069" s="7" t="s">
        <v>1072</v>
      </c>
      <c r="B1069" s="7" t="s">
        <v>1079</v>
      </c>
      <c r="C1069" s="7" t="str">
        <f t="shared" si="51"/>
        <v>男</v>
      </c>
      <c r="D1069" s="7" t="str">
        <f>"411325199208277036"</f>
        <v>411325199208277036</v>
      </c>
      <c r="E1069" s="8" t="str">
        <f>"10960263616"</f>
        <v>10960263616</v>
      </c>
      <c r="F1069" s="7" t="str">
        <f t="shared" si="52"/>
        <v>36</v>
      </c>
      <c r="G1069" s="7" t="str">
        <f>"16"</f>
        <v>16</v>
      </c>
      <c r="H1069" s="7" t="s">
        <v>45</v>
      </c>
      <c r="I1069" s="7">
        <v>60</v>
      </c>
      <c r="J1069" s="9"/>
    </row>
    <row r="1070" ht="14.25" spans="1:10">
      <c r="A1070" s="7" t="s">
        <v>1072</v>
      </c>
      <c r="B1070" s="7" t="s">
        <v>1080</v>
      </c>
      <c r="C1070" s="7" t="str">
        <f t="shared" si="51"/>
        <v>女</v>
      </c>
      <c r="D1070" s="7" t="str">
        <f>"411302199303030029"</f>
        <v>411302199303030029</v>
      </c>
      <c r="E1070" s="8" t="str">
        <f>"10960263617"</f>
        <v>10960263617</v>
      </c>
      <c r="F1070" s="7" t="str">
        <f t="shared" si="52"/>
        <v>36</v>
      </c>
      <c r="G1070" s="7" t="str">
        <f>"17"</f>
        <v>17</v>
      </c>
      <c r="H1070" s="7" t="s">
        <v>45</v>
      </c>
      <c r="I1070" s="7" t="s">
        <v>14</v>
      </c>
      <c r="J1070" s="9"/>
    </row>
    <row r="1071" ht="14.25" spans="1:10">
      <c r="A1071" s="7" t="s">
        <v>1072</v>
      </c>
      <c r="B1071" s="7" t="s">
        <v>1081</v>
      </c>
      <c r="C1071" s="7" t="str">
        <f t="shared" si="51"/>
        <v>男</v>
      </c>
      <c r="D1071" s="7" t="str">
        <f>"411325199304270416"</f>
        <v>411325199304270416</v>
      </c>
      <c r="E1071" s="8" t="str">
        <f>"10960263618"</f>
        <v>10960263618</v>
      </c>
      <c r="F1071" s="7" t="str">
        <f t="shared" si="52"/>
        <v>36</v>
      </c>
      <c r="G1071" s="7" t="str">
        <f>"18"</f>
        <v>18</v>
      </c>
      <c r="H1071" s="7" t="s">
        <v>45</v>
      </c>
      <c r="I1071" s="7" t="s">
        <v>14</v>
      </c>
      <c r="J1071" s="9"/>
    </row>
    <row r="1072" ht="14.25" spans="1:10">
      <c r="A1072" s="7" t="s">
        <v>1072</v>
      </c>
      <c r="B1072" s="7" t="s">
        <v>1082</v>
      </c>
      <c r="C1072" s="7" t="str">
        <f t="shared" si="51"/>
        <v>男</v>
      </c>
      <c r="D1072" s="7" t="str">
        <f>"130427199605060017"</f>
        <v>130427199605060017</v>
      </c>
      <c r="E1072" s="8" t="str">
        <f>"10960263619"</f>
        <v>10960263619</v>
      </c>
      <c r="F1072" s="7" t="str">
        <f t="shared" si="52"/>
        <v>36</v>
      </c>
      <c r="G1072" s="7" t="str">
        <f>"19"</f>
        <v>19</v>
      </c>
      <c r="H1072" s="7" t="s">
        <v>45</v>
      </c>
      <c r="I1072" s="7" t="s">
        <v>14</v>
      </c>
      <c r="J1072" s="9"/>
    </row>
    <row r="1073" ht="14.25" spans="1:10">
      <c r="A1073" s="7" t="s">
        <v>1072</v>
      </c>
      <c r="B1073" s="7" t="s">
        <v>1083</v>
      </c>
      <c r="C1073" s="7" t="str">
        <f t="shared" si="51"/>
        <v>男</v>
      </c>
      <c r="D1073" s="7" t="str">
        <f>"411322199407052017"</f>
        <v>411322199407052017</v>
      </c>
      <c r="E1073" s="8" t="str">
        <f>"10960263620"</f>
        <v>10960263620</v>
      </c>
      <c r="F1073" s="7" t="str">
        <f t="shared" si="52"/>
        <v>36</v>
      </c>
      <c r="G1073" s="7" t="str">
        <f>"20"</f>
        <v>20</v>
      </c>
      <c r="H1073" s="7" t="s">
        <v>45</v>
      </c>
      <c r="I1073" s="7" t="s">
        <v>14</v>
      </c>
      <c r="J1073" s="9"/>
    </row>
    <row r="1074" ht="14.25" spans="1:10">
      <c r="A1074" s="7" t="s">
        <v>1084</v>
      </c>
      <c r="B1074" s="7" t="s">
        <v>1085</v>
      </c>
      <c r="C1074" s="7" t="str">
        <f t="shared" si="51"/>
        <v>男</v>
      </c>
      <c r="D1074" s="7" t="str">
        <f>"411302199710110018"</f>
        <v>411302199710110018</v>
      </c>
      <c r="E1074" s="8" t="str">
        <f>"10960283621"</f>
        <v>10960283621</v>
      </c>
      <c r="F1074" s="7" t="str">
        <f t="shared" si="52"/>
        <v>36</v>
      </c>
      <c r="G1074" s="7" t="str">
        <f>"21"</f>
        <v>21</v>
      </c>
      <c r="H1074" s="7" t="s">
        <v>13</v>
      </c>
      <c r="I1074" s="7">
        <v>68.4</v>
      </c>
      <c r="J1074" s="9"/>
    </row>
    <row r="1075" ht="14.25" spans="1:10">
      <c r="A1075" s="7" t="s">
        <v>1084</v>
      </c>
      <c r="B1075" s="7" t="s">
        <v>1086</v>
      </c>
      <c r="C1075" s="7" t="str">
        <f t="shared" si="51"/>
        <v>女</v>
      </c>
      <c r="D1075" s="7" t="str">
        <f>"411325199808086524"</f>
        <v>411325199808086524</v>
      </c>
      <c r="E1075" s="8" t="str">
        <f>"10960283622"</f>
        <v>10960283622</v>
      </c>
      <c r="F1075" s="7" t="str">
        <f t="shared" si="52"/>
        <v>36</v>
      </c>
      <c r="G1075" s="7" t="str">
        <f>"22"</f>
        <v>22</v>
      </c>
      <c r="H1075" s="7" t="s">
        <v>13</v>
      </c>
      <c r="I1075" s="7">
        <v>58.8</v>
      </c>
      <c r="J1075" s="9"/>
    </row>
    <row r="1076" ht="14.25" spans="1:10">
      <c r="A1076" s="7" t="s">
        <v>1084</v>
      </c>
      <c r="B1076" s="7" t="s">
        <v>1087</v>
      </c>
      <c r="C1076" s="7" t="str">
        <f t="shared" si="51"/>
        <v>女</v>
      </c>
      <c r="D1076" s="7" t="str">
        <f>"411326199604080020"</f>
        <v>411326199604080020</v>
      </c>
      <c r="E1076" s="8" t="str">
        <f>"10960283623"</f>
        <v>10960283623</v>
      </c>
      <c r="F1076" s="7" t="str">
        <f t="shared" si="52"/>
        <v>36</v>
      </c>
      <c r="G1076" s="7" t="str">
        <f>"23"</f>
        <v>23</v>
      </c>
      <c r="H1076" s="7" t="s">
        <v>13</v>
      </c>
      <c r="I1076" s="7">
        <v>62.7</v>
      </c>
      <c r="J1076" s="9"/>
    </row>
    <row r="1077" ht="14.25" spans="1:10">
      <c r="A1077" s="7" t="s">
        <v>1084</v>
      </c>
      <c r="B1077" s="7" t="s">
        <v>1088</v>
      </c>
      <c r="C1077" s="7" t="str">
        <f t="shared" si="51"/>
        <v>女</v>
      </c>
      <c r="D1077" s="7" t="str">
        <f>"511025199612254423"</f>
        <v>511025199612254423</v>
      </c>
      <c r="E1077" s="8" t="str">
        <f>"10960283624"</f>
        <v>10960283624</v>
      </c>
      <c r="F1077" s="7" t="str">
        <f t="shared" si="52"/>
        <v>36</v>
      </c>
      <c r="G1077" s="7" t="str">
        <f>"24"</f>
        <v>24</v>
      </c>
      <c r="H1077" s="7" t="s">
        <v>13</v>
      </c>
      <c r="I1077" s="7" t="s">
        <v>14</v>
      </c>
      <c r="J1077" s="9"/>
    </row>
    <row r="1078" ht="14.25" spans="1:10">
      <c r="A1078" s="7" t="s">
        <v>1084</v>
      </c>
      <c r="B1078" s="7" t="s">
        <v>1089</v>
      </c>
      <c r="C1078" s="7" t="str">
        <f t="shared" si="51"/>
        <v>男</v>
      </c>
      <c r="D1078" s="7" t="str">
        <f>"410182199109041437"</f>
        <v>410182199109041437</v>
      </c>
      <c r="E1078" s="8" t="str">
        <f>"10960283625"</f>
        <v>10960283625</v>
      </c>
      <c r="F1078" s="7" t="str">
        <f t="shared" si="52"/>
        <v>36</v>
      </c>
      <c r="G1078" s="7" t="str">
        <f>"25"</f>
        <v>25</v>
      </c>
      <c r="H1078" s="7" t="s">
        <v>13</v>
      </c>
      <c r="I1078" s="7" t="s">
        <v>14</v>
      </c>
      <c r="J1078" s="9"/>
    </row>
    <row r="1079" ht="14.25" spans="1:10">
      <c r="A1079" s="7" t="s">
        <v>1084</v>
      </c>
      <c r="B1079" s="7" t="s">
        <v>1090</v>
      </c>
      <c r="C1079" s="7" t="str">
        <f t="shared" si="51"/>
        <v>女</v>
      </c>
      <c r="D1079" s="7" t="str">
        <f>"411329199212152549"</f>
        <v>411329199212152549</v>
      </c>
      <c r="E1079" s="8" t="str">
        <f>"10960283626"</f>
        <v>10960283626</v>
      </c>
      <c r="F1079" s="7" t="str">
        <f t="shared" si="52"/>
        <v>36</v>
      </c>
      <c r="G1079" s="7" t="str">
        <f>"26"</f>
        <v>26</v>
      </c>
      <c r="H1079" s="7" t="s">
        <v>13</v>
      </c>
      <c r="I1079" s="7" t="s">
        <v>14</v>
      </c>
      <c r="J1079" s="9"/>
    </row>
    <row r="1080" ht="14.25" spans="1:10">
      <c r="A1080" s="7" t="s">
        <v>1084</v>
      </c>
      <c r="B1080" s="7" t="s">
        <v>1091</v>
      </c>
      <c r="C1080" s="7" t="str">
        <f t="shared" si="51"/>
        <v>男</v>
      </c>
      <c r="D1080" s="7" t="str">
        <f>"411324199402090017"</f>
        <v>411324199402090017</v>
      </c>
      <c r="E1080" s="8" t="str">
        <f>"10960283627"</f>
        <v>10960283627</v>
      </c>
      <c r="F1080" s="7" t="str">
        <f t="shared" si="52"/>
        <v>36</v>
      </c>
      <c r="G1080" s="7" t="str">
        <f>"27"</f>
        <v>27</v>
      </c>
      <c r="H1080" s="7" t="s">
        <v>45</v>
      </c>
      <c r="I1080" s="7" t="s">
        <v>14</v>
      </c>
      <c r="J1080" s="9"/>
    </row>
    <row r="1081" ht="14.25" spans="1:10">
      <c r="A1081" s="7" t="s">
        <v>1084</v>
      </c>
      <c r="B1081" s="7" t="s">
        <v>1092</v>
      </c>
      <c r="C1081" s="7" t="str">
        <f t="shared" si="51"/>
        <v>男</v>
      </c>
      <c r="D1081" s="7" t="str">
        <f>"41070219870720153X"</f>
        <v>41070219870720153X</v>
      </c>
      <c r="E1081" s="8" t="str">
        <f>"10960283628"</f>
        <v>10960283628</v>
      </c>
      <c r="F1081" s="7" t="str">
        <f t="shared" si="52"/>
        <v>36</v>
      </c>
      <c r="G1081" s="7" t="str">
        <f>"28"</f>
        <v>28</v>
      </c>
      <c r="H1081" s="7" t="s">
        <v>45</v>
      </c>
      <c r="I1081" s="7" t="s">
        <v>14</v>
      </c>
      <c r="J1081" s="9"/>
    </row>
    <row r="1082" ht="14.25" spans="1:10">
      <c r="A1082" s="7" t="s">
        <v>1084</v>
      </c>
      <c r="B1082" s="7" t="s">
        <v>672</v>
      </c>
      <c r="C1082" s="7" t="str">
        <f t="shared" si="51"/>
        <v>男</v>
      </c>
      <c r="D1082" s="7" t="str">
        <f>"411325199111022950"</f>
        <v>411325199111022950</v>
      </c>
      <c r="E1082" s="8" t="str">
        <f>"10960283629"</f>
        <v>10960283629</v>
      </c>
      <c r="F1082" s="7" t="str">
        <f t="shared" si="52"/>
        <v>36</v>
      </c>
      <c r="G1082" s="7" t="str">
        <f>"29"</f>
        <v>29</v>
      </c>
      <c r="H1082" s="7" t="s">
        <v>45</v>
      </c>
      <c r="I1082" s="7" t="s">
        <v>14</v>
      </c>
      <c r="J1082" s="9"/>
    </row>
    <row r="1083" ht="14.25" spans="1:10">
      <c r="A1083" s="7" t="s">
        <v>1084</v>
      </c>
      <c r="B1083" s="7" t="s">
        <v>1093</v>
      </c>
      <c r="C1083" s="7" t="str">
        <f t="shared" si="51"/>
        <v>女</v>
      </c>
      <c r="D1083" s="7" t="str">
        <f>"411325199303029049"</f>
        <v>411325199303029049</v>
      </c>
      <c r="E1083" s="8" t="str">
        <f>"10960283630"</f>
        <v>10960283630</v>
      </c>
      <c r="F1083" s="7" t="str">
        <f t="shared" si="52"/>
        <v>36</v>
      </c>
      <c r="G1083" s="7" t="str">
        <f>"30"</f>
        <v>30</v>
      </c>
      <c r="H1083" s="7" t="s">
        <v>45</v>
      </c>
      <c r="I1083" s="7" t="s">
        <v>14</v>
      </c>
      <c r="J1083" s="9"/>
    </row>
    <row r="1084" ht="14.25" spans="1:10">
      <c r="A1084" s="7" t="s">
        <v>1084</v>
      </c>
      <c r="B1084" s="7" t="s">
        <v>1094</v>
      </c>
      <c r="C1084" s="7" t="str">
        <f t="shared" si="51"/>
        <v>男</v>
      </c>
      <c r="D1084" s="7" t="str">
        <f>"410324199601070317"</f>
        <v>410324199601070317</v>
      </c>
      <c r="E1084" s="8" t="str">
        <f>"10960283701"</f>
        <v>10960283701</v>
      </c>
      <c r="F1084" s="7" t="str">
        <f t="shared" ref="F1084:F1089" si="53">"37"</f>
        <v>37</v>
      </c>
      <c r="G1084" s="7" t="str">
        <f>"01"</f>
        <v>01</v>
      </c>
      <c r="H1084" s="7" t="s">
        <v>45</v>
      </c>
      <c r="I1084" s="7" t="s">
        <v>14</v>
      </c>
      <c r="J1084" s="9"/>
    </row>
    <row r="1085" ht="14.25" spans="1:10">
      <c r="A1085" s="7" t="s">
        <v>1084</v>
      </c>
      <c r="B1085" s="7" t="s">
        <v>1095</v>
      </c>
      <c r="C1085" s="7" t="str">
        <f t="shared" si="51"/>
        <v>男</v>
      </c>
      <c r="D1085" s="7" t="str">
        <f>"412825199209105373"</f>
        <v>412825199209105373</v>
      </c>
      <c r="E1085" s="8" t="str">
        <f>"10960283702"</f>
        <v>10960283702</v>
      </c>
      <c r="F1085" s="7" t="str">
        <f t="shared" si="53"/>
        <v>37</v>
      </c>
      <c r="G1085" s="7" t="str">
        <f>"02"</f>
        <v>02</v>
      </c>
      <c r="H1085" s="7" t="s">
        <v>45</v>
      </c>
      <c r="I1085" s="7" t="s">
        <v>14</v>
      </c>
      <c r="J1085" s="9"/>
    </row>
    <row r="1086" ht="14.25" spans="1:10">
      <c r="A1086" s="7" t="s">
        <v>1084</v>
      </c>
      <c r="B1086" s="7" t="s">
        <v>1096</v>
      </c>
      <c r="C1086" s="7" t="str">
        <f t="shared" si="51"/>
        <v>女</v>
      </c>
      <c r="D1086" s="7" t="str">
        <f>"411325199207180427"</f>
        <v>411325199207180427</v>
      </c>
      <c r="E1086" s="8" t="str">
        <f>"10960283703"</f>
        <v>10960283703</v>
      </c>
      <c r="F1086" s="7" t="str">
        <f t="shared" si="53"/>
        <v>37</v>
      </c>
      <c r="G1086" s="7" t="str">
        <f>"03"</f>
        <v>03</v>
      </c>
      <c r="H1086" s="7" t="s">
        <v>45</v>
      </c>
      <c r="I1086" s="7">
        <v>58.9</v>
      </c>
      <c r="J1086" s="9"/>
    </row>
    <row r="1087" ht="14.25" spans="1:10">
      <c r="A1087" s="7" t="s">
        <v>1084</v>
      </c>
      <c r="B1087" s="7" t="s">
        <v>1097</v>
      </c>
      <c r="C1087" s="7" t="str">
        <f t="shared" si="51"/>
        <v>男</v>
      </c>
      <c r="D1087" s="7" t="str">
        <f>"412822199306073079"</f>
        <v>412822199306073079</v>
      </c>
      <c r="E1087" s="8" t="str">
        <f>"10960283704"</f>
        <v>10960283704</v>
      </c>
      <c r="F1087" s="7" t="str">
        <f t="shared" si="53"/>
        <v>37</v>
      </c>
      <c r="G1087" s="7" t="str">
        <f>"04"</f>
        <v>04</v>
      </c>
      <c r="H1087" s="7" t="s">
        <v>45</v>
      </c>
      <c r="I1087" s="7" t="s">
        <v>14</v>
      </c>
      <c r="J1087" s="9"/>
    </row>
    <row r="1088" ht="14.25" spans="1:10">
      <c r="A1088" s="7" t="s">
        <v>1084</v>
      </c>
      <c r="B1088" s="7" t="s">
        <v>1098</v>
      </c>
      <c r="C1088" s="7" t="str">
        <f t="shared" si="51"/>
        <v>女</v>
      </c>
      <c r="D1088" s="7" t="str">
        <f>"412822199702284089"</f>
        <v>412822199702284089</v>
      </c>
      <c r="E1088" s="8" t="str">
        <f>"10960283705"</f>
        <v>10960283705</v>
      </c>
      <c r="F1088" s="7" t="str">
        <f t="shared" si="53"/>
        <v>37</v>
      </c>
      <c r="G1088" s="7" t="str">
        <f>"05"</f>
        <v>05</v>
      </c>
      <c r="H1088" s="7" t="s">
        <v>45</v>
      </c>
      <c r="I1088" s="7">
        <v>65.2</v>
      </c>
      <c r="J1088" s="9"/>
    </row>
    <row r="1089" ht="14.25" spans="1:10">
      <c r="A1089" s="7" t="s">
        <v>1084</v>
      </c>
      <c r="B1089" s="7" t="s">
        <v>1099</v>
      </c>
      <c r="C1089" s="7" t="str">
        <f t="shared" si="51"/>
        <v>女</v>
      </c>
      <c r="D1089" s="7" t="str">
        <f>"41132519921210076X"</f>
        <v>41132519921210076X</v>
      </c>
      <c r="E1089" s="8" t="str">
        <f>"10960283706"</f>
        <v>10960283706</v>
      </c>
      <c r="F1089" s="7" t="str">
        <f t="shared" si="53"/>
        <v>37</v>
      </c>
      <c r="G1089" s="7" t="str">
        <f>"06"</f>
        <v>06</v>
      </c>
      <c r="H1089" s="7" t="s">
        <v>45</v>
      </c>
      <c r="I1089" s="7" t="s">
        <v>14</v>
      </c>
      <c r="J1089" s="9"/>
    </row>
  </sheetData>
  <autoFilter ref="A3:J1089">
    <extLst/>
  </autoFilter>
  <sortState ref="A4:J1089">
    <sortCondition ref="E4:E1089"/>
  </sortState>
  <mergeCells count="1">
    <mergeCell ref="A1:J2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>
    <oddFooter>&amp;C&amp;12&amp;B第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2020-09-08T08:09:00Z</dcterms:created>
  <dcterms:modified xsi:type="dcterms:W3CDTF">2020-09-08T14:10:12Z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  <property fmtid="{D5CDD505-2E9C-101B-9397-08002B2CF9AE}" pid="3" name="KSOReadingLayout">
    <vt:bool>true</vt:bool>
  </property>
</Properties>
</file>